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Excel_BuiltIn_Print_Area" localSheetId="0">'2023'!$A$1:$G$290</definedName>
    <definedName name="OLE_LINK1" localSheetId="0">'2023'!$B$3</definedName>
    <definedName name="_xlnm.Print_Area" localSheetId="0">'2023'!$A$1:$M$289</definedName>
  </definedNames>
  <calcPr fullCalcOnLoad="1"/>
</workbook>
</file>

<file path=xl/sharedStrings.xml><?xml version="1.0" encoding="utf-8"?>
<sst xmlns="http://schemas.openxmlformats.org/spreadsheetml/2006/main" count="1183" uniqueCount="376">
  <si>
    <t>Ведомственная структура расходов бюджета города Струнино на 2023 год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</si>
  <si>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</si>
  <si>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</si>
  <si>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</si>
  <si>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</si>
  <si>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</si>
  <si>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</si>
  <si>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2023 год, тыс. руб.</t>
  </si>
  <si>
    <t>изменения</t>
  </si>
  <si>
    <t>Решение СНД    от 31.01.2023 № 6</t>
  </si>
  <si>
    <t>Решение СНД    от №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</si>
  <si>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</si>
  <si>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</si>
  <si>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</si>
  <si>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</si>
  <si>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</si>
  <si>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</si>
  <si>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</si>
  <si>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</si>
  <si>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</si>
  <si>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</si>
  <si>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</si>
  <si>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</si>
  <si>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</si>
  <si>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</si>
  <si>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</si>
  <si>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</si>
  <si>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</si>
  <si>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</si>
  <si>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</si>
  <si>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</si>
  <si>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</si>
  <si>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</si>
  <si>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</si>
  <si>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</si>
  <si>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</si>
  <si>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</si>
  <si>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</si>
  <si>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</si>
  <si>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</si>
  <si>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</si>
  <si>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</si>
  <si>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</si>
  <si>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</si>
  <si>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</si>
  <si>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</si>
  <si>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</si>
  <si>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</si>
  <si>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</si>
  <si>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</si>
  <si>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</si>
  <si>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</si>
  <si>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</si>
  <si>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</si>
  <si>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</si>
  <si>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</si>
  <si>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</si>
  <si>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</si>
  <si>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</si>
  <si>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</si>
  <si>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</si>
  <si>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</si>
  <si>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</si>
  <si>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</si>
  <si>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</si>
  <si>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</si>
  <si>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</si>
  <si>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</si>
  <si>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</si>
  <si>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</si>
  <si>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</si>
  <si>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</si>
  <si>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</si>
  <si>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</si>
  <si>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по содержанию имущества (Иные бюджетные ассигнования)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</si>
  <si>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</si>
  <si>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</si>
  <si>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</si>
  <si>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</si>
  <si>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</si>
  <si>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</si>
  <si>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</si>
  <si>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</si>
  <si>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</si>
  <si>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</si>
  <si>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</si>
  <si>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</si>
  <si>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</si>
  <si>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</si>
  <si>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</si>
  <si>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</si>
  <si>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</si>
  <si>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</si>
  <si>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</si>
  <si>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</si>
  <si>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</si>
  <si>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</si>
  <si>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</si>
  <si>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</si>
  <si>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</si>
  <si>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</si>
  <si>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</si>
  <si>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</si>
  <si>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</si>
  <si>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</si>
  <si>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</si>
  <si>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</si>
  <si>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</si>
  <si>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</si>
  <si>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</si>
  <si>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</si>
  <si>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</si>
  <si>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</si>
  <si>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</si>
  <si>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</si>
  <si>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</si>
  <si>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</si>
  <si>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</si>
  <si>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</si>
  <si>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</si>
  <si>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</si>
  <si>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в том числе добровольные пожертвования на текущий ремонт щебеночного покрытия дороги на  кладбище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</si>
  <si>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</si>
  <si>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</si>
  <si>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</si>
  <si>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</si>
  <si>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</si>
  <si>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</si>
  <si>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</si>
  <si>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</si>
  <si>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</si>
  <si>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</si>
  <si>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</si>
  <si>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</si>
  <si>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</si>
  <si>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</si>
  <si>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</si>
  <si>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</si>
  <si>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</si>
  <si>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</si>
  <si>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</si>
  <si>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</si>
  <si>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</si>
  <si>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</si>
  <si>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</si>
  <si>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</si>
  <si>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</si>
  <si>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</si>
  <si>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</si>
  <si>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</si>
  <si>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</si>
  <si>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</si>
  <si>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</si>
  <si>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</si>
  <si>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</si>
  <si>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</si>
  <si>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</si>
  <si>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</si>
  <si>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</si>
  <si>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</si>
  <si>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</si>
  <si>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</si>
  <si>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</si>
  <si>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</si>
  <si>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</si>
  <si>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</si>
  <si>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</si>
  <si>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</si>
  <si>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</si>
  <si>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</si>
  <si>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Жилищно-коммунальное хозяйство</t>
  </si>
  <si>
    <t>05</t>
  </si>
  <si>
    <t>Жилищное хозяйство</t>
  </si>
  <si>
    <t>Основное мероприятие: "Ремонт муниципального имущества"</t>
  </si>
  <si>
    <t>03 0 03</t>
  </si>
  <si>
    <t>Ремонт жилых и нежилых зданий, сооружений (Закупка товаров,работ и услуг для государственных (муниципальных)нужд</t>
  </si>
  <si>
    <t>03 0 03 30020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</si>
  <si>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</si>
  <si>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</si>
  <si>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</si>
  <si>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</si>
  <si>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</si>
  <si>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</si>
  <si>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</si>
  <si>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</si>
  <si>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</si>
  <si>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</si>
  <si>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</si>
  <si>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</si>
  <si>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</si>
  <si>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</si>
  <si>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</si>
  <si>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</si>
  <si>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</si>
  <si>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</si>
  <si>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</si>
  <si>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</si>
  <si>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</si>
  <si>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</si>
  <si>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</si>
  <si>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</si>
  <si>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</si>
  <si>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</si>
  <si>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</si>
  <si>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</si>
  <si>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</si>
  <si>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</si>
  <si>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</si>
  <si>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</si>
  <si>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в том числе приобретение мини-погрузчика за счет средств местного бюджета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</si>
  <si>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</si>
  <si>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</si>
  <si>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</si>
  <si>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</si>
  <si>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</si>
  <si>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</si>
  <si>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</si>
  <si>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</si>
  <si>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</si>
  <si>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</si>
  <si>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</si>
  <si>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</si>
  <si>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</si>
  <si>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</si>
  <si>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</si>
  <si>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19</t>
  </si>
  <si>
    <t>19 0 03 20135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</si>
  <si>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</si>
  <si>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</si>
  <si>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</si>
  <si>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</si>
  <si>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</si>
  <si>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</si>
  <si>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</si>
  <si>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</si>
  <si>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</si>
  <si>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</si>
  <si>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</si>
  <si>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</si>
  <si>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</si>
  <si>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</si>
  <si>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</si>
  <si>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</si>
  <si>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</si>
  <si>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</si>
  <si>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</si>
  <si>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</si>
  <si>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</si>
  <si>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</si>
  <si>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</si>
  <si>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</si>
  <si>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Основное мероприятие «Благоустройство привокзальной площади»</t>
  </si>
  <si>
    <t>Благоустройство привокзальной площади  (Закупка товаров, работ и услуг для государственных (муниципальных) нужд)</t>
  </si>
  <si>
    <t>06 0 07 20160</t>
  </si>
  <si>
    <t>Муниципальная программа "Формирование комфортной городской среды муниципального образования город Струнино"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</si>
  <si>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</si>
  <si>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</si>
  <si>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</si>
  <si>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</si>
  <si>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r>
      <rPr>
        <sz val="12"/>
        <color indexed="60"/>
        <rFont val="Times New Roman"/>
        <family val="1"/>
      </rPr>
      <t>Благоустройство привокзальной площади</t>
    </r>
    <r>
      <rPr>
        <sz val="12"/>
        <color indexed="60"/>
        <rFont val="Times New Roman"/>
        <family val="1"/>
      </rPr>
      <t>(Закупка товаров, работ и услуг для государственных (муниципальных) нужд)</t>
    </r>
  </si>
  <si>
    <t>14 0 03</t>
  </si>
  <si>
    <t>14 0 03 20ххх</t>
  </si>
  <si>
    <t>14 0 F2 54240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</si>
  <si>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</si>
  <si>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</si>
  <si>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</si>
  <si>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</si>
  <si>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14 0 05 20170</t>
  </si>
  <si>
    <t>Разработка ПСД по благоустройству  Набережной р.Горелый Крест в городе Струнино Владимирской области» (Закупка товаров, работ и услуг для государственных (муниципальных) нужд)</t>
  </si>
  <si>
    <t>14 0 06 20190</t>
  </si>
  <si>
    <t>Разработка ПСД по объекту : « Строительство Набережной р.Горелый Крест в городе Струнино Владимирской области»(Капитальные вложения в объекты  государственной (муниципальной) собственности)</t>
  </si>
  <si>
    <t>99 9 00 20700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</si>
  <si>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</si>
  <si>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</si>
  <si>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</si>
  <si>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</si>
  <si>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</si>
  <si>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</si>
  <si>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</si>
  <si>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</si>
  <si>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</si>
  <si>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15 0 02</t>
  </si>
  <si>
    <t>15 0 02 2Д590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</si>
  <si>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</si>
  <si>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</si>
  <si>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</si>
  <si>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</si>
  <si>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</si>
  <si>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</si>
  <si>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</si>
  <si>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</si>
  <si>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</si>
  <si>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</si>
  <si>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</si>
  <si>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</si>
  <si>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</si>
  <si>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</si>
  <si>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</si>
  <si>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</si>
  <si>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</si>
  <si>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</si>
  <si>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Субсидии на 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</si>
  <si>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S0531</t>
  </si>
  <si>
    <t>Социальная политика</t>
  </si>
  <si>
    <t>Пенсионное обеспечение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</si>
  <si>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</si>
  <si>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</si>
  <si>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</si>
  <si>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</si>
  <si>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</si>
  <si>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</si>
  <si>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</si>
  <si>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</si>
  <si>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</si>
  <si>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</si>
  <si>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</si>
  <si>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</si>
  <si>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</si>
  <si>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</si>
  <si>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</si>
  <si>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</si>
  <si>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</si>
  <si>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</si>
  <si>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</si>
  <si>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</si>
  <si>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</si>
  <si>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</si>
  <si>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</si>
  <si>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</si>
  <si>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</si>
  <si>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</si>
  <si>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</si>
  <si>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"Содержание объектов 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</si>
  <si>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</si>
  <si>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18 0 01 72000</t>
  </si>
  <si>
    <t>ИТОГО расходов</t>
  </si>
  <si>
    <t>Обустройство и восстановление воинских захоронений (мемориала "Струнинцам, погибшим в ВОВ 1941-1945 г"), находящихся в муниципальной собственности (Закупка товаров, работ и услуг для государственных (муниципальных) нужд)</t>
  </si>
  <si>
    <t>06 0 03 L2990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</si>
  <si>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</si>
  <si>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</si>
  <si>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</si>
  <si>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14 0 04 20138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</si>
  <si>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</si>
  <si>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06 0 08</t>
  </si>
  <si>
    <t>06 0 08 2М020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</si>
  <si>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</si>
  <si>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Прочие мероприятия по благоустройству (Иные бюджетные ассигнования)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</si>
  <si>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</si>
  <si>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 xml:space="preserve">03 0 01 20020 </t>
  </si>
  <si>
    <t>Проведение мероприятий (Иные бюджетные ассигнования)</t>
  </si>
  <si>
    <t>99 9 00 55491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</si>
  <si>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</si>
  <si>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"Благоустройство набережной р.Горелый крест"</t>
  </si>
  <si>
    <t xml:space="preserve">14 0 06 </t>
  </si>
  <si>
    <t>в том числе добровольные пожертвования на текущий ремонт тротуара от ул.Норильская.д.1 до Больничный городок,д.1</t>
  </si>
  <si>
    <r>
  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</si>
  <si>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Основное мероприятие "Благоустройство привокзальной площади"</t>
  </si>
  <si>
    <t>Основное мероприятие "Обеспечение устойчивого сокращения непригодного для проживания жилищного фонда"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</si>
  <si>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</si>
  <si>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Основное мероприятие:"Федеральный проект "Обеспечение устойчивого сокращения непригодного для проживания жилищного фонда "национального проекта "Жилье и городская среда"</t>
  </si>
  <si>
    <t>Основное мероприятие: "Приведение конструкций площадок в соответствие с установленными требованиями"</t>
  </si>
  <si>
    <t>Основное мероприятие: "Проведение мероприятий в области коммунального хозяйства"</t>
  </si>
  <si>
    <t>Расходы по актуализации схем водоснабжения и водоотведения,теплоснабжения города Струнино (Закупка товаров, работ и услуг для государственных (муниципальных) нужд)</t>
  </si>
  <si>
    <t>Основное мероприятие: "Содержание сетей уличного освещения"</t>
  </si>
  <si>
    <t>Основное мероприятие: "Ликвидация стихийных свалок"</t>
  </si>
  <si>
    <t>Основное мероприятие: "Благоустройство дворовых и общественных территорий"</t>
  </si>
  <si>
    <t>Основное мероприятие "Организация и проведение культурно-досуговых и массовых мероприятий"</t>
  </si>
  <si>
    <t>Основное мероприятие  "Поддержка учреждений культуры"</t>
  </si>
  <si>
    <t>Расходы на обеспечение деятельности МБКДУ "Струнинский Дом культуры"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</si>
  <si>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"Централизованная библиотечная система" города Струнино (Предоставление субсидий бюджетным, автономным учреждениям и иным некоммерческим организациям)</t>
  </si>
  <si>
    <t>Основное мероприятие "Модернизация комплектования библиотек в части комплектования книжных фондов"</t>
  </si>
  <si>
    <t>Сумма на 2023 год,                               тыс. руб.</t>
  </si>
  <si>
    <t xml:space="preserve">14 0 05 </t>
  </si>
  <si>
    <t xml:space="preserve">Проведение мероприятий (Закупка товаров, работ и услуг для государственных (муниципальных) нужд) </t>
  </si>
  <si>
    <t>в том числе добровольные пожертвования на межевание земельного участка</t>
  </si>
  <si>
    <t>Приложение №6
к решению Совета народных депутатов города Струнино                                                       
От       11.12.2023       №       90      Приложение №6
к решению Совета народных депутатов города Струнино                                                       
от  06.12.2022                        № 60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</si>
</sst>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0"/>
    <numFmt numFmtId="169" formatCode="0.00000"/>
    <numFmt numFmtId="170" formatCode="0.000"/>
    <numFmt numFmtId="171" formatCode="0.0"/>
    <numFmt numFmtId="172" formatCode="0.000000"/>
    <numFmt numFmtId="173" formatCode="0.0000000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3" applyNumberFormat="0" applyAlignment="0" applyProtection="0"/>
    <xf numFmtId="0" fontId="53" fillId="34" borderId="4" applyNumberFormat="0" applyAlignment="0" applyProtection="0"/>
    <xf numFmtId="0" fontId="54" fillId="34" borderId="3" applyNumberFormat="0" applyAlignment="0" applyProtection="0"/>
    <xf numFmtId="0" fontId="5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5" borderId="9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9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1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168" fontId="20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left" vertical="top" wrapText="1"/>
    </xf>
    <xf numFmtId="49" fontId="19" fillId="4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vertical="top" wrapText="1"/>
    </xf>
    <xf numFmtId="0" fontId="19" fillId="40" borderId="13" xfId="0" applyFont="1" applyFill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3" fillId="40" borderId="13" xfId="0" applyFont="1" applyFill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13" xfId="0" applyNumberFormat="1" applyFont="1" applyFill="1" applyBorder="1" applyAlignment="1">
      <alignment horizontal="left"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2" fontId="22" fillId="40" borderId="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19" fillId="0" borderId="13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13" xfId="102" applyFont="1" applyFill="1" applyBorder="1" applyAlignment="1">
      <alignment horizontal="left" vertical="top" wrapText="1"/>
      <protection/>
    </xf>
    <xf numFmtId="169" fontId="20" fillId="0" borderId="2" xfId="0" applyNumberFormat="1" applyFont="1" applyFill="1" applyBorder="1" applyAlignment="1">
      <alignment horizontal="center"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2" xfId="0" applyNumberFormat="1" applyFont="1" applyFill="1" applyBorder="1" applyAlignment="1">
      <alignment horizontal="center" vertical="top"/>
    </xf>
    <xf numFmtId="0" fontId="22" fillId="40" borderId="13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2" xfId="0" applyNumberFormat="1" applyFont="1" applyBorder="1" applyAlignment="1">
      <alignment horizontal="center" vertical="top"/>
    </xf>
    <xf numFmtId="49" fontId="23" fillId="0" borderId="2" xfId="103" applyNumberFormat="1" applyFont="1" applyFill="1" applyBorder="1" applyAlignment="1">
      <alignment horizontal="left" vertical="center"/>
      <protection/>
    </xf>
    <xf numFmtId="0" fontId="22" fillId="40" borderId="13" xfId="0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0" fillId="40" borderId="13" xfId="0" applyFont="1" applyFill="1" applyBorder="1" applyAlignment="1">
      <alignment horizontal="left" vertical="top" wrapText="1"/>
    </xf>
    <xf numFmtId="170" fontId="20" fillId="0" borderId="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70" fontId="22" fillId="0" borderId="2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left" vertical="center"/>
    </xf>
    <xf numFmtId="0" fontId="22" fillId="4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/>
    </xf>
    <xf numFmtId="49" fontId="22" fillId="40" borderId="2" xfId="0" applyNumberFormat="1" applyFont="1" applyFill="1" applyBorder="1" applyAlignment="1">
      <alignment horizontal="left" vertical="center"/>
    </xf>
    <xf numFmtId="49" fontId="23" fillId="40" borderId="16" xfId="0" applyNumberFormat="1" applyFont="1" applyFill="1" applyBorder="1" applyAlignment="1">
      <alignment horizontal="center" vertical="center"/>
    </xf>
    <xf numFmtId="0" fontId="26" fillId="40" borderId="2" xfId="0" applyFont="1" applyFill="1" applyBorder="1" applyAlignment="1">
      <alignment horizontal="left" vertical="top" wrapText="1"/>
    </xf>
    <xf numFmtId="49" fontId="26" fillId="40" borderId="2" xfId="0" applyNumberFormat="1" applyFont="1" applyFill="1" applyBorder="1" applyAlignment="1">
      <alignment horizontal="center" vertical="center"/>
    </xf>
    <xf numFmtId="49" fontId="28" fillId="40" borderId="2" xfId="0" applyNumberFormat="1" applyFont="1" applyFill="1" applyBorder="1" applyAlignment="1">
      <alignment horizontal="left" vertical="center"/>
    </xf>
    <xf numFmtId="49" fontId="26" fillId="40" borderId="16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0" fontId="26" fillId="40" borderId="19" xfId="0" applyFont="1" applyFill="1" applyBorder="1" applyAlignment="1">
      <alignment vertical="top"/>
    </xf>
    <xf numFmtId="49" fontId="22" fillId="0" borderId="12" xfId="0" applyNumberFormat="1" applyFont="1" applyFill="1" applyBorder="1" applyAlignment="1">
      <alignment horizontal="left" vertical="center"/>
    </xf>
    <xf numFmtId="2" fontId="22" fillId="0" borderId="12" xfId="0" applyNumberFormat="1" applyFont="1" applyFill="1" applyBorder="1" applyAlignment="1">
      <alignment horizontal="center" vertical="center" wrapText="1"/>
    </xf>
    <xf numFmtId="49" fontId="20" fillId="40" borderId="13" xfId="0" applyNumberFormat="1" applyFont="1" applyFill="1" applyBorder="1" applyAlignment="1">
      <alignment horizontal="center" vertical="center"/>
    </xf>
    <xf numFmtId="49" fontId="20" fillId="40" borderId="2" xfId="0" applyNumberFormat="1" applyFont="1" applyFill="1" applyBorder="1" applyAlignment="1">
      <alignment horizontal="center" vertical="center"/>
    </xf>
    <xf numFmtId="49" fontId="20" fillId="40" borderId="20" xfId="0" applyNumberFormat="1" applyFont="1" applyFill="1" applyBorder="1" applyAlignment="1">
      <alignment horizontal="left" vertical="center"/>
    </xf>
    <xf numFmtId="0" fontId="22" fillId="40" borderId="17" xfId="0" applyNumberFormat="1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center" vertical="center"/>
    </xf>
    <xf numFmtId="49" fontId="22" fillId="40" borderId="20" xfId="0" applyNumberFormat="1" applyFont="1" applyFill="1" applyBorder="1" applyAlignment="1">
      <alignment horizontal="left" vertical="center"/>
    </xf>
    <xf numFmtId="0" fontId="22" fillId="40" borderId="2" xfId="0" applyNumberFormat="1" applyFont="1" applyFill="1" applyBorder="1" applyAlignment="1">
      <alignment horizontal="left" vertical="top" wrapText="1"/>
    </xf>
    <xf numFmtId="0" fontId="22" fillId="40" borderId="12" xfId="0" applyNumberFormat="1" applyFont="1" applyFill="1" applyBorder="1" applyAlignment="1">
      <alignment horizontal="left" vertical="top" wrapText="1"/>
    </xf>
    <xf numFmtId="0" fontId="26" fillId="40" borderId="2" xfId="0" applyFont="1" applyFill="1" applyBorder="1" applyAlignment="1">
      <alignment vertical="top" wrapText="1"/>
    </xf>
    <xf numFmtId="49" fontId="22" fillId="40" borderId="15" xfId="0" applyNumberFormat="1" applyFont="1" applyFill="1" applyBorder="1" applyAlignment="1">
      <alignment horizontal="center" vertical="center"/>
    </xf>
    <xf numFmtId="49" fontId="22" fillId="40" borderId="12" xfId="0" applyNumberFormat="1" applyFont="1" applyFill="1" applyBorder="1" applyAlignment="1">
      <alignment horizontal="center" vertical="center"/>
    </xf>
    <xf numFmtId="49" fontId="22" fillId="40" borderId="21" xfId="0" applyNumberFormat="1" applyFont="1" applyFill="1" applyBorder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left" vertical="center"/>
    </xf>
    <xf numFmtId="0" fontId="22" fillId="40" borderId="16" xfId="0" applyNumberFormat="1" applyFont="1" applyFill="1" applyBorder="1" applyAlignment="1">
      <alignment horizontal="left" vertical="top" wrapText="1"/>
    </xf>
    <xf numFmtId="49" fontId="22" fillId="0" borderId="17" xfId="0" applyNumberFormat="1" applyFont="1" applyBorder="1" applyAlignment="1">
      <alignment horizontal="left" vertical="center"/>
    </xf>
    <xf numFmtId="168" fontId="22" fillId="0" borderId="2" xfId="0" applyNumberFormat="1" applyFont="1" applyFill="1" applyBorder="1" applyAlignment="1">
      <alignment horizontal="center" vertical="center" wrapText="1"/>
    </xf>
    <xf numFmtId="171" fontId="22" fillId="0" borderId="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top" wrapText="1"/>
    </xf>
    <xf numFmtId="0" fontId="26" fillId="40" borderId="13" xfId="0" applyFont="1" applyFill="1" applyBorder="1" applyAlignment="1">
      <alignment/>
    </xf>
    <xf numFmtId="0" fontId="23" fillId="0" borderId="13" xfId="0" applyFont="1" applyBorder="1" applyAlignment="1">
      <alignment vertical="center" wrapText="1"/>
    </xf>
    <xf numFmtId="0" fontId="26" fillId="40" borderId="22" xfId="0" applyFont="1" applyFill="1" applyBorder="1" applyAlignment="1">
      <alignment vertical="top"/>
    </xf>
    <xf numFmtId="0" fontId="20" fillId="40" borderId="16" xfId="0" applyNumberFormat="1" applyFont="1" applyFill="1" applyBorder="1" applyAlignment="1">
      <alignment horizontal="left" vertical="top" wrapText="1"/>
    </xf>
    <xf numFmtId="2" fontId="20" fillId="0" borderId="17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left" vertical="center"/>
    </xf>
    <xf numFmtId="2" fontId="22" fillId="0" borderId="17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49" fontId="28" fillId="0" borderId="2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0" fontId="22" fillId="40" borderId="19" xfId="0" applyFont="1" applyFill="1" applyBorder="1" applyAlignment="1">
      <alignment vertical="top" wrapText="1"/>
    </xf>
    <xf numFmtId="0" fontId="22" fillId="40" borderId="19" xfId="0" applyFont="1" applyFill="1" applyBorder="1" applyAlignment="1">
      <alignment vertical="top" wrapText="1"/>
    </xf>
    <xf numFmtId="0" fontId="22" fillId="40" borderId="13" xfId="0" applyFont="1" applyFill="1" applyBorder="1" applyAlignment="1">
      <alignment vertical="top" wrapText="1"/>
    </xf>
    <xf numFmtId="0" fontId="27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top" wrapText="1"/>
    </xf>
    <xf numFmtId="0" fontId="22" fillId="40" borderId="13" xfId="0" applyNumberFormat="1" applyFont="1" applyFill="1" applyBorder="1" applyAlignment="1">
      <alignment vertical="top" wrapText="1"/>
    </xf>
    <xf numFmtId="0" fontId="22" fillId="40" borderId="15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49" fontId="23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top" wrapText="1"/>
    </xf>
    <xf numFmtId="49" fontId="19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Border="1" applyAlignment="1">
      <alignment/>
    </xf>
    <xf numFmtId="0" fontId="18" fillId="0" borderId="13" xfId="0" applyFont="1" applyBorder="1" applyAlignment="1">
      <alignment/>
    </xf>
    <xf numFmtId="0" fontId="18" fillId="0" borderId="2" xfId="0" applyFont="1" applyBorder="1" applyAlignment="1">
      <alignment/>
    </xf>
    <xf numFmtId="2" fontId="30" fillId="0" borderId="2" xfId="0" applyNumberFormat="1" applyFont="1" applyFill="1" applyBorder="1" applyAlignment="1">
      <alignment horizontal="center"/>
    </xf>
    <xf numFmtId="168" fontId="30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9" fontId="15" fillId="40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2" fillId="40" borderId="2" xfId="0" applyNumberFormat="1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69" fontId="20" fillId="0" borderId="17" xfId="0" applyNumberFormat="1" applyFont="1" applyFill="1" applyBorder="1" applyAlignment="1">
      <alignment horizontal="center" vertical="center" wrapText="1"/>
    </xf>
    <xf numFmtId="169" fontId="22" fillId="0" borderId="17" xfId="0" applyNumberFormat="1" applyFont="1" applyFill="1" applyBorder="1" applyAlignment="1">
      <alignment horizontal="center" vertical="center" wrapText="1"/>
    </xf>
    <xf numFmtId="169" fontId="30" fillId="0" borderId="2" xfId="0" applyNumberFormat="1" applyFont="1" applyFill="1" applyBorder="1" applyAlignment="1">
      <alignment horizontal="center"/>
    </xf>
    <xf numFmtId="169" fontId="15" fillId="0" borderId="0" xfId="0" applyNumberFormat="1" applyFont="1" applyFill="1" applyAlignment="1">
      <alignment/>
    </xf>
    <xf numFmtId="0" fontId="23" fillId="40" borderId="13" xfId="0" applyFont="1" applyFill="1" applyBorder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0" fontId="26" fillId="40" borderId="13" xfId="0" applyFont="1" applyFill="1" applyBorder="1" applyAlignment="1">
      <alignment horizontal="left" vertical="top" wrapText="1"/>
    </xf>
    <xf numFmtId="169" fontId="69" fillId="0" borderId="2" xfId="0" applyNumberFormat="1" applyFont="1" applyFill="1" applyBorder="1" applyAlignment="1">
      <alignment horizontal="center" vertical="center" wrapText="1"/>
    </xf>
    <xf numFmtId="169" fontId="28" fillId="0" borderId="2" xfId="0" applyNumberFormat="1" applyFont="1" applyFill="1" applyBorder="1" applyAlignment="1">
      <alignment horizontal="center" vertical="center" wrapText="1"/>
    </xf>
    <xf numFmtId="169" fontId="70" fillId="0" borderId="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2" fillId="0" borderId="15" xfId="0" applyFont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center"/>
    </xf>
    <xf numFmtId="169" fontId="69" fillId="0" borderId="12" xfId="0" applyNumberFormat="1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vertical="top" wrapText="1"/>
    </xf>
    <xf numFmtId="49" fontId="22" fillId="0" borderId="17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/>
    </xf>
    <xf numFmtId="2" fontId="22" fillId="0" borderId="26" xfId="0" applyNumberFormat="1" applyFont="1" applyFill="1" applyBorder="1" applyAlignment="1">
      <alignment horizontal="center" vertical="center" wrapText="1"/>
    </xf>
    <xf numFmtId="169" fontId="22" fillId="0" borderId="26" xfId="0" applyNumberFormat="1" applyFont="1" applyFill="1" applyBorder="1" applyAlignment="1">
      <alignment horizontal="center" vertical="center" wrapText="1"/>
    </xf>
    <xf numFmtId="169" fontId="69" fillId="0" borderId="26" xfId="0" applyNumberFormat="1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vertical="top" wrapText="1"/>
    </xf>
    <xf numFmtId="0" fontId="22" fillId="40" borderId="26" xfId="0" applyFont="1" applyFill="1" applyBorder="1" applyAlignment="1">
      <alignment vertical="top" wrapText="1"/>
    </xf>
    <xf numFmtId="0" fontId="26" fillId="40" borderId="0" xfId="0" applyFont="1" applyFill="1" applyBorder="1" applyAlignment="1">
      <alignment vertical="top"/>
    </xf>
    <xf numFmtId="2" fontId="29" fillId="0" borderId="17" xfId="0" applyNumberFormat="1" applyFont="1" applyFill="1" applyBorder="1" applyAlignment="1">
      <alignment horizontal="center" vertical="center" wrapText="1"/>
    </xf>
    <xf numFmtId="169" fontId="29" fillId="0" borderId="17" xfId="0" applyNumberFormat="1" applyFont="1" applyFill="1" applyBorder="1" applyAlignment="1">
      <alignment horizontal="center" vertical="center" wrapText="1"/>
    </xf>
    <xf numFmtId="0" fontId="26" fillId="40" borderId="26" xfId="0" applyFont="1" applyFill="1" applyBorder="1" applyAlignment="1">
      <alignment vertical="top"/>
    </xf>
    <xf numFmtId="0" fontId="29" fillId="40" borderId="26" xfId="0" applyFont="1" applyFill="1" applyBorder="1" applyAlignment="1">
      <alignment vertical="top" wrapText="1"/>
    </xf>
    <xf numFmtId="49" fontId="29" fillId="0" borderId="26" xfId="0" applyNumberFormat="1" applyFont="1" applyBorder="1" applyAlignment="1">
      <alignment horizontal="left" vertical="center"/>
    </xf>
    <xf numFmtId="2" fontId="29" fillId="0" borderId="26" xfId="0" applyNumberFormat="1" applyFont="1" applyFill="1" applyBorder="1" applyAlignment="1">
      <alignment horizontal="center" vertical="center" wrapText="1"/>
    </xf>
    <xf numFmtId="169" fontId="29" fillId="0" borderId="26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top" wrapText="1"/>
    </xf>
    <xf numFmtId="0" fontId="28" fillId="40" borderId="13" xfId="0" applyFont="1" applyFill="1" applyBorder="1" applyAlignment="1">
      <alignment horizontal="left" vertical="top" wrapText="1"/>
    </xf>
    <xf numFmtId="169" fontId="20" fillId="41" borderId="2" xfId="0" applyNumberFormat="1" applyFont="1" applyFill="1" applyBorder="1" applyAlignment="1">
      <alignment horizontal="center" vertical="center" wrapText="1"/>
    </xf>
    <xf numFmtId="2" fontId="20" fillId="41" borderId="2" xfId="0" applyNumberFormat="1" applyFont="1" applyFill="1" applyBorder="1" applyAlignment="1">
      <alignment horizontal="center" vertical="center" wrapText="1"/>
    </xf>
    <xf numFmtId="2" fontId="28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center" vertical="center"/>
    </xf>
    <xf numFmtId="0" fontId="26" fillId="40" borderId="22" xfId="0" applyFont="1" applyFill="1" applyBorder="1" applyAlignment="1">
      <alignment vertical="top" wrapText="1"/>
    </xf>
    <xf numFmtId="0" fontId="26" fillId="40" borderId="16" xfId="0" applyFont="1" applyFill="1" applyBorder="1" applyAlignment="1">
      <alignment wrapText="1"/>
    </xf>
    <xf numFmtId="0" fontId="26" fillId="40" borderId="13" xfId="0" applyFont="1" applyFill="1" applyBorder="1" applyAlignment="1">
      <alignment wrapText="1"/>
    </xf>
    <xf numFmtId="0" fontId="26" fillId="40" borderId="13" xfId="0" applyFont="1" applyFill="1" applyBorder="1" applyAlignment="1">
      <alignment vertical="top" wrapText="1"/>
    </xf>
    <xf numFmtId="0" fontId="26" fillId="40" borderId="19" xfId="0" applyFont="1" applyFill="1" applyBorder="1" applyAlignment="1">
      <alignment vertical="top" wrapText="1"/>
    </xf>
    <xf numFmtId="0" fontId="26" fillId="40" borderId="26" xfId="0" applyFont="1" applyFill="1" applyBorder="1" applyAlignment="1">
      <alignment vertical="top" wrapText="1"/>
    </xf>
    <xf numFmtId="169" fontId="20" fillId="0" borderId="2" xfId="0" applyNumberFormat="1" applyFont="1" applyFill="1" applyBorder="1" applyAlignment="1">
      <alignment horizontal="center"/>
    </xf>
    <xf numFmtId="2" fontId="22" fillId="41" borderId="2" xfId="0" applyNumberFormat="1" applyFont="1" applyFill="1" applyBorder="1" applyAlignment="1">
      <alignment horizontal="center" vertical="center" wrapText="1"/>
    </xf>
    <xf numFmtId="49" fontId="28" fillId="42" borderId="2" xfId="0" applyNumberFormat="1" applyFont="1" applyFill="1" applyBorder="1" applyAlignment="1">
      <alignment horizontal="left" vertical="center"/>
    </xf>
    <xf numFmtId="0" fontId="23" fillId="41" borderId="13" xfId="0" applyFont="1" applyFill="1" applyBorder="1" applyAlignment="1">
      <alignment horizontal="left" vertical="top" wrapText="1"/>
    </xf>
    <xf numFmtId="2" fontId="28" fillId="41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7" fontId="21" fillId="0" borderId="20" xfId="0" applyNumberFormat="1" applyFont="1" applyFill="1" applyBorder="1" applyAlignment="1">
      <alignment horizontal="center" vertical="center" wrapText="1"/>
    </xf>
    <xf numFmtId="169" fontId="20" fillId="0" borderId="20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9" fontId="20" fillId="0" borderId="2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9"/>
  <sheetViews>
    <sheetView tabSelected="1" zoomScale="120" zoomScaleNormal="120" zoomScalePageLayoutView="0" workbookViewId="0" topLeftCell="A1">
      <selection activeCell="E3" sqref="E3:M4"/>
    </sheetView>
  </sheetViews>
  <sheetFormatPr defaultColWidth="8.140625" defaultRowHeight="15"/>
  <cols>
    <col min="1" max="1" width="5.421875" style="0" customWidth="1"/>
    <col min="2" max="2" width="39.00390625" style="0" customWidth="1"/>
    <col min="3" max="3" width="7.7109375" style="0" customWidth="1"/>
    <col min="4" max="4" width="10.00390625" style="0" customWidth="1"/>
    <col min="5" max="5" width="17.140625" style="0" customWidth="1"/>
    <col min="6" max="6" width="7.7109375" style="0" bestFit="1" customWidth="1"/>
    <col min="7" max="7" width="15.28125" style="1" hidden="1" customWidth="1"/>
    <col min="8" max="8" width="14.28125" style="1" hidden="1" customWidth="1"/>
    <col min="9" max="9" width="16.421875" style="1" hidden="1" customWidth="1"/>
    <col min="10" max="10" width="13.57421875" style="1" hidden="1" customWidth="1"/>
    <col min="11" max="11" width="18.00390625" style="152" hidden="1" customWidth="1"/>
    <col min="12" max="12" width="16.421875" style="152" hidden="1" customWidth="1"/>
    <col min="13" max="13" width="15.421875" style="152" customWidth="1"/>
  </cols>
  <sheetData>
    <row r="1" ht="5.25" customHeight="1"/>
    <row r="2" ht="15" customHeight="1" hidden="1"/>
    <row r="3" spans="2:13" ht="0.75" customHeight="1">
      <c r="B3" s="2"/>
      <c r="E3" s="217" t="s">
        <v>375</v>
      </c>
      <c r="F3" s="217"/>
      <c r="G3" s="217"/>
      <c r="H3" s="217"/>
      <c r="I3" s="217"/>
      <c r="J3" s="217"/>
      <c r="K3" s="217"/>
      <c r="L3" s="217"/>
      <c r="M3" s="217"/>
    </row>
    <row r="4" spans="2:13" ht="138" customHeight="1">
      <c r="B4" s="3"/>
      <c r="C4" s="3"/>
      <c r="D4" s="3"/>
      <c r="E4" s="217"/>
      <c r="F4" s="217"/>
      <c r="G4" s="217"/>
      <c r="H4" s="217"/>
      <c r="I4" s="217"/>
      <c r="J4" s="217"/>
      <c r="K4" s="217"/>
      <c r="L4" s="217"/>
      <c r="M4" s="217"/>
    </row>
    <row r="5" spans="2:13" ht="18.75" customHeight="1">
      <c r="B5" s="218" t="s">
        <v>0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2:13" ht="15" customHeigh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2:13" ht="6.75" customHeight="1">
      <c r="B7" s="4"/>
      <c r="C7" s="4"/>
      <c r="D7" s="4"/>
      <c r="E7" s="4"/>
      <c r="F7" s="4"/>
      <c r="G7" s="5"/>
      <c r="H7" s="5"/>
      <c r="I7" s="5"/>
      <c r="J7" s="5"/>
      <c r="K7" s="153"/>
      <c r="L7" s="153"/>
      <c r="M7" s="153"/>
    </row>
    <row r="8" spans="1:13" ht="123" customHeight="1">
      <c r="A8" s="209" t="s">
        <v>1</v>
      </c>
      <c r="B8" s="210" t="s">
        <v>2</v>
      </c>
      <c r="C8" s="211" t="s">
        <v>3</v>
      </c>
      <c r="D8" s="211" t="s">
        <v>4</v>
      </c>
      <c r="E8" s="212" t="s">
        <v>5</v>
      </c>
      <c r="F8" s="213" t="s">
        <v>6</v>
      </c>
      <c r="G8" s="216" t="s">
        <v>7</v>
      </c>
      <c r="H8" s="216" t="s">
        <v>8</v>
      </c>
      <c r="I8" s="216" t="s">
        <v>9</v>
      </c>
      <c r="J8" s="216" t="s">
        <v>8</v>
      </c>
      <c r="K8" s="219" t="s">
        <v>10</v>
      </c>
      <c r="L8" s="214" t="s">
        <v>8</v>
      </c>
      <c r="M8" s="215" t="s">
        <v>371</v>
      </c>
    </row>
    <row r="9" spans="1:13" ht="17.25" customHeight="1">
      <c r="A9" s="209"/>
      <c r="B9" s="210"/>
      <c r="C9" s="211"/>
      <c r="D9" s="211"/>
      <c r="E9" s="212"/>
      <c r="F9" s="213"/>
      <c r="G9" s="216"/>
      <c r="H9" s="216"/>
      <c r="I9" s="216"/>
      <c r="J9" s="216"/>
      <c r="K9" s="219"/>
      <c r="L9" s="214"/>
      <c r="M9" s="215"/>
    </row>
    <row r="10" spans="1:13" ht="35.25" customHeight="1">
      <c r="A10" s="6">
        <v>703</v>
      </c>
      <c r="B10" s="7" t="s">
        <v>11</v>
      </c>
      <c r="C10" s="8"/>
      <c r="D10" s="8"/>
      <c r="E10" s="9"/>
      <c r="F10" s="8"/>
      <c r="G10" s="10">
        <f aca="true" t="shared" si="0" ref="G10:M10">G11+G52+G58+G70+G129+G241+G266+G282</f>
        <v>203460.00000000003</v>
      </c>
      <c r="H10" s="11">
        <f t="shared" si="0"/>
        <v>141772.7716</v>
      </c>
      <c r="I10" s="11">
        <f t="shared" si="0"/>
        <v>345232.7716</v>
      </c>
      <c r="J10" s="10">
        <f t="shared" si="0"/>
        <v>135033.30000000005</v>
      </c>
      <c r="K10" s="52">
        <f t="shared" si="0"/>
        <v>480266.0716</v>
      </c>
      <c r="L10" s="52">
        <f t="shared" si="0"/>
        <v>44668.21135</v>
      </c>
      <c r="M10" s="156">
        <f t="shared" si="0"/>
        <v>526792.4829500001</v>
      </c>
    </row>
    <row r="11" spans="1:13" ht="21" customHeight="1">
      <c r="A11" s="12"/>
      <c r="B11" s="13" t="s">
        <v>12</v>
      </c>
      <c r="C11" s="14" t="s">
        <v>13</v>
      </c>
      <c r="D11" s="15"/>
      <c r="E11" s="16"/>
      <c r="F11" s="15"/>
      <c r="G11" s="10">
        <f aca="true" t="shared" si="1" ref="G11:M11">G12+G16+G20+G28+G32</f>
        <v>25451.8</v>
      </c>
      <c r="H11" s="10">
        <f t="shared" si="1"/>
        <v>0</v>
      </c>
      <c r="I11" s="10">
        <f t="shared" si="1"/>
        <v>25451.8</v>
      </c>
      <c r="J11" s="10">
        <f t="shared" si="1"/>
        <v>62.099999999999994</v>
      </c>
      <c r="K11" s="52">
        <f t="shared" si="1"/>
        <v>25513.9</v>
      </c>
      <c r="L11" s="52">
        <f t="shared" si="1"/>
        <v>1827.17002</v>
      </c>
      <c r="M11" s="192">
        <f t="shared" si="1"/>
        <v>27341.07002</v>
      </c>
    </row>
    <row r="12" spans="1:13" ht="63">
      <c r="A12" s="17"/>
      <c r="B12" s="13" t="s">
        <v>14</v>
      </c>
      <c r="C12" s="14" t="s">
        <v>13</v>
      </c>
      <c r="D12" s="14" t="s">
        <v>15</v>
      </c>
      <c r="E12" s="18"/>
      <c r="F12" s="14"/>
      <c r="G12" s="10">
        <f aca="true" t="shared" si="2" ref="G12:K14">G13</f>
        <v>1057.3</v>
      </c>
      <c r="H12" s="10">
        <f t="shared" si="2"/>
        <v>0</v>
      </c>
      <c r="I12" s="10">
        <f t="shared" si="2"/>
        <v>1057.3</v>
      </c>
      <c r="J12" s="10">
        <f t="shared" si="2"/>
        <v>0</v>
      </c>
      <c r="K12" s="52">
        <f t="shared" si="2"/>
        <v>1057.3</v>
      </c>
      <c r="L12" s="52">
        <f aca="true" t="shared" si="3" ref="L12:M14">L13</f>
        <v>0</v>
      </c>
      <c r="M12" s="10">
        <f t="shared" si="3"/>
        <v>1057.3</v>
      </c>
    </row>
    <row r="13" spans="1:13" ht="21.75" customHeight="1">
      <c r="A13" s="17"/>
      <c r="B13" s="19" t="s">
        <v>16</v>
      </c>
      <c r="C13" s="20" t="s">
        <v>13</v>
      </c>
      <c r="D13" s="20" t="s">
        <v>15</v>
      </c>
      <c r="E13" s="21" t="s">
        <v>17</v>
      </c>
      <c r="F13" s="20"/>
      <c r="G13" s="22">
        <f t="shared" si="2"/>
        <v>1057.3</v>
      </c>
      <c r="H13" s="22">
        <f t="shared" si="2"/>
        <v>0</v>
      </c>
      <c r="I13" s="22">
        <f t="shared" si="2"/>
        <v>1057.3</v>
      </c>
      <c r="J13" s="22">
        <f t="shared" si="2"/>
        <v>0</v>
      </c>
      <c r="K13" s="53">
        <f t="shared" si="2"/>
        <v>1057.3</v>
      </c>
      <c r="L13" s="53">
        <f t="shared" si="3"/>
        <v>0</v>
      </c>
      <c r="M13" s="22">
        <f t="shared" si="3"/>
        <v>1057.3</v>
      </c>
    </row>
    <row r="14" spans="1:13" ht="21.75" customHeight="1">
      <c r="A14" s="17"/>
      <c r="B14" s="19" t="s">
        <v>18</v>
      </c>
      <c r="C14" s="20" t="s">
        <v>13</v>
      </c>
      <c r="D14" s="20" t="s">
        <v>15</v>
      </c>
      <c r="E14" s="21" t="s">
        <v>19</v>
      </c>
      <c r="F14" s="20"/>
      <c r="G14" s="22">
        <f t="shared" si="2"/>
        <v>1057.3</v>
      </c>
      <c r="H14" s="22">
        <f t="shared" si="2"/>
        <v>0</v>
      </c>
      <c r="I14" s="22">
        <f t="shared" si="2"/>
        <v>1057.3</v>
      </c>
      <c r="J14" s="22">
        <f t="shared" si="2"/>
        <v>0</v>
      </c>
      <c r="K14" s="53">
        <f t="shared" si="2"/>
        <v>1057.3</v>
      </c>
      <c r="L14" s="53">
        <f t="shared" si="3"/>
        <v>0</v>
      </c>
      <c r="M14" s="22">
        <f t="shared" si="3"/>
        <v>1057.3</v>
      </c>
    </row>
    <row r="15" spans="1:13" ht="157.5">
      <c r="A15" s="17"/>
      <c r="B15" s="23" t="s">
        <v>20</v>
      </c>
      <c r="C15" s="20" t="s">
        <v>13</v>
      </c>
      <c r="D15" s="20" t="s">
        <v>15</v>
      </c>
      <c r="E15" s="21" t="s">
        <v>21</v>
      </c>
      <c r="F15" s="20" t="s">
        <v>22</v>
      </c>
      <c r="G15" s="22">
        <v>1057.3</v>
      </c>
      <c r="H15" s="22">
        <v>0</v>
      </c>
      <c r="I15" s="22">
        <v>1057.3</v>
      </c>
      <c r="J15" s="22">
        <v>0</v>
      </c>
      <c r="K15" s="53">
        <v>1057.3</v>
      </c>
      <c r="L15" s="53">
        <v>0</v>
      </c>
      <c r="M15" s="22">
        <v>1057.3</v>
      </c>
    </row>
    <row r="16" spans="1:13" ht="103.5" customHeight="1">
      <c r="A16" s="17"/>
      <c r="B16" s="24" t="s">
        <v>23</v>
      </c>
      <c r="C16" s="14" t="s">
        <v>13</v>
      </c>
      <c r="D16" s="14" t="s">
        <v>24</v>
      </c>
      <c r="E16" s="18"/>
      <c r="F16" s="20"/>
      <c r="G16" s="10">
        <f aca="true" t="shared" si="4" ref="G16:K18">G17</f>
        <v>30</v>
      </c>
      <c r="H16" s="10">
        <f t="shared" si="4"/>
        <v>0</v>
      </c>
      <c r="I16" s="10">
        <f t="shared" si="4"/>
        <v>30</v>
      </c>
      <c r="J16" s="10">
        <f t="shared" si="4"/>
        <v>0</v>
      </c>
      <c r="K16" s="52">
        <f t="shared" si="4"/>
        <v>30</v>
      </c>
      <c r="L16" s="52">
        <f aca="true" t="shared" si="5" ref="L16:M18">L17</f>
        <v>0</v>
      </c>
      <c r="M16" s="10">
        <f t="shared" si="5"/>
        <v>30</v>
      </c>
    </row>
    <row r="17" spans="1:13" ht="15.75">
      <c r="A17" s="17"/>
      <c r="B17" s="19" t="s">
        <v>16</v>
      </c>
      <c r="C17" s="20" t="s">
        <v>13</v>
      </c>
      <c r="D17" s="20" t="s">
        <v>24</v>
      </c>
      <c r="E17" s="21" t="s">
        <v>17</v>
      </c>
      <c r="F17" s="20"/>
      <c r="G17" s="22">
        <f t="shared" si="4"/>
        <v>30</v>
      </c>
      <c r="H17" s="22">
        <f t="shared" si="4"/>
        <v>0</v>
      </c>
      <c r="I17" s="22">
        <f t="shared" si="4"/>
        <v>30</v>
      </c>
      <c r="J17" s="22">
        <f t="shared" si="4"/>
        <v>0</v>
      </c>
      <c r="K17" s="53">
        <f t="shared" si="4"/>
        <v>30</v>
      </c>
      <c r="L17" s="53">
        <f t="shared" si="5"/>
        <v>0</v>
      </c>
      <c r="M17" s="22">
        <f t="shared" si="5"/>
        <v>30</v>
      </c>
    </row>
    <row r="18" spans="1:13" ht="18" customHeight="1">
      <c r="A18" s="17"/>
      <c r="B18" s="19" t="s">
        <v>18</v>
      </c>
      <c r="C18" s="20" t="s">
        <v>13</v>
      </c>
      <c r="D18" s="20" t="s">
        <v>24</v>
      </c>
      <c r="E18" s="21" t="s">
        <v>19</v>
      </c>
      <c r="F18" s="20"/>
      <c r="G18" s="22">
        <f t="shared" si="4"/>
        <v>30</v>
      </c>
      <c r="H18" s="22">
        <f t="shared" si="4"/>
        <v>0</v>
      </c>
      <c r="I18" s="22">
        <f t="shared" si="4"/>
        <v>30</v>
      </c>
      <c r="J18" s="22">
        <f t="shared" si="4"/>
        <v>0</v>
      </c>
      <c r="K18" s="53">
        <f t="shared" si="4"/>
        <v>30</v>
      </c>
      <c r="L18" s="53">
        <f t="shared" si="5"/>
        <v>0</v>
      </c>
      <c r="M18" s="22">
        <f t="shared" si="5"/>
        <v>30</v>
      </c>
    </row>
    <row r="19" spans="1:13" ht="85.5" customHeight="1">
      <c r="A19" s="17"/>
      <c r="B19" s="25" t="s">
        <v>25</v>
      </c>
      <c r="C19" s="20" t="s">
        <v>13</v>
      </c>
      <c r="D19" s="20" t="s">
        <v>24</v>
      </c>
      <c r="E19" s="21" t="s">
        <v>26</v>
      </c>
      <c r="F19" s="20" t="s">
        <v>27</v>
      </c>
      <c r="G19" s="22">
        <v>30</v>
      </c>
      <c r="H19" s="22">
        <v>0</v>
      </c>
      <c r="I19" s="22">
        <v>30</v>
      </c>
      <c r="J19" s="22">
        <v>0</v>
      </c>
      <c r="K19" s="53">
        <v>30</v>
      </c>
      <c r="L19" s="53">
        <v>0</v>
      </c>
      <c r="M19" s="22">
        <v>30</v>
      </c>
    </row>
    <row r="20" spans="1:13" ht="102" customHeight="1">
      <c r="A20" s="17"/>
      <c r="B20" s="26" t="s">
        <v>28</v>
      </c>
      <c r="C20" s="14" t="s">
        <v>13</v>
      </c>
      <c r="D20" s="14" t="s">
        <v>29</v>
      </c>
      <c r="E20" s="21"/>
      <c r="F20" s="8"/>
      <c r="G20" s="10">
        <f aca="true" t="shared" si="6" ref="G20:K21">G21</f>
        <v>4877.9</v>
      </c>
      <c r="H20" s="10">
        <f t="shared" si="6"/>
        <v>0</v>
      </c>
      <c r="I20" s="10">
        <f t="shared" si="6"/>
        <v>4877.9</v>
      </c>
      <c r="J20" s="10">
        <f t="shared" si="6"/>
        <v>0</v>
      </c>
      <c r="K20" s="52">
        <f t="shared" si="6"/>
        <v>4877.9</v>
      </c>
      <c r="L20" s="52">
        <f>L21</f>
        <v>314.18</v>
      </c>
      <c r="M20" s="10">
        <f>M21</f>
        <v>5192.08</v>
      </c>
    </row>
    <row r="21" spans="1:13" ht="15.75">
      <c r="A21" s="17"/>
      <c r="B21" s="27" t="s">
        <v>30</v>
      </c>
      <c r="C21" s="20" t="s">
        <v>13</v>
      </c>
      <c r="D21" s="20" t="s">
        <v>29</v>
      </c>
      <c r="E21" s="21" t="s">
        <v>31</v>
      </c>
      <c r="F21" s="20"/>
      <c r="G21" s="22">
        <f t="shared" si="6"/>
        <v>4877.9</v>
      </c>
      <c r="H21" s="22">
        <f t="shared" si="6"/>
        <v>0</v>
      </c>
      <c r="I21" s="22">
        <f t="shared" si="6"/>
        <v>4877.9</v>
      </c>
      <c r="J21" s="22">
        <f t="shared" si="6"/>
        <v>0</v>
      </c>
      <c r="K21" s="53">
        <f t="shared" si="6"/>
        <v>4877.9</v>
      </c>
      <c r="L21" s="53">
        <f>L22</f>
        <v>314.18</v>
      </c>
      <c r="M21" s="22">
        <f>M22</f>
        <v>5192.08</v>
      </c>
    </row>
    <row r="22" spans="1:13" ht="19.5" customHeight="1">
      <c r="A22" s="17"/>
      <c r="B22" s="28" t="s">
        <v>18</v>
      </c>
      <c r="C22" s="29" t="s">
        <v>13</v>
      </c>
      <c r="D22" s="29" t="s">
        <v>29</v>
      </c>
      <c r="E22" s="30" t="s">
        <v>32</v>
      </c>
      <c r="F22" s="29"/>
      <c r="G22" s="22">
        <f>G23+G24+G26+G27</f>
        <v>4877.9</v>
      </c>
      <c r="H22" s="22">
        <f>H23+H24+H26+H27</f>
        <v>0</v>
      </c>
      <c r="I22" s="22">
        <f>I23+I24+I26+I27</f>
        <v>4877.9</v>
      </c>
      <c r="J22" s="22">
        <f>J23+J24+J26+J27</f>
        <v>0</v>
      </c>
      <c r="K22" s="53">
        <f>K23+K24+K26+K27+K25</f>
        <v>4877.9</v>
      </c>
      <c r="L22" s="53">
        <f>L23+L24+L26+L27+L25</f>
        <v>314.18</v>
      </c>
      <c r="M22" s="22">
        <f>M23+M24+M26+M27+M25</f>
        <v>5192.08</v>
      </c>
    </row>
    <row r="23" spans="1:13" ht="161.25" customHeight="1">
      <c r="A23" s="17"/>
      <c r="B23" s="31" t="s">
        <v>33</v>
      </c>
      <c r="C23" s="29" t="s">
        <v>13</v>
      </c>
      <c r="D23" s="29" t="s">
        <v>29</v>
      </c>
      <c r="E23" s="30" t="s">
        <v>34</v>
      </c>
      <c r="F23" s="29" t="s">
        <v>22</v>
      </c>
      <c r="G23" s="22">
        <v>1514</v>
      </c>
      <c r="H23" s="22">
        <v>0</v>
      </c>
      <c r="I23" s="22">
        <v>1514</v>
      </c>
      <c r="J23" s="22">
        <v>0</v>
      </c>
      <c r="K23" s="53">
        <v>1514</v>
      </c>
      <c r="L23" s="53">
        <f>37.3+11.3+15+4.5</f>
        <v>68.1</v>
      </c>
      <c r="M23" s="22">
        <f>K23+L23</f>
        <v>1582.1</v>
      </c>
    </row>
    <row r="24" spans="1:13" ht="149.25" customHeight="1">
      <c r="A24" s="17"/>
      <c r="B24" s="32" t="s">
        <v>35</v>
      </c>
      <c r="C24" s="33" t="s">
        <v>13</v>
      </c>
      <c r="D24" s="33" t="s">
        <v>29</v>
      </c>
      <c r="E24" s="34" t="s">
        <v>36</v>
      </c>
      <c r="F24" s="29" t="s">
        <v>22</v>
      </c>
      <c r="G24" s="35">
        <v>2586.9</v>
      </c>
      <c r="H24" s="35">
        <v>0</v>
      </c>
      <c r="I24" s="35">
        <v>2586.9</v>
      </c>
      <c r="J24" s="35">
        <v>0</v>
      </c>
      <c r="K24" s="154">
        <v>2586.9</v>
      </c>
      <c r="L24" s="154">
        <f>61.8+18.6+42.6+12.9</f>
        <v>135.9</v>
      </c>
      <c r="M24" s="35">
        <f>K24+L24</f>
        <v>2722.8</v>
      </c>
    </row>
    <row r="25" spans="1:13" ht="153" customHeight="1">
      <c r="A25" s="17"/>
      <c r="B25" s="32" t="s">
        <v>351</v>
      </c>
      <c r="C25" s="162" t="s">
        <v>13</v>
      </c>
      <c r="D25" s="162" t="s">
        <v>29</v>
      </c>
      <c r="E25" s="163" t="s">
        <v>350</v>
      </c>
      <c r="F25" s="36" t="s">
        <v>22</v>
      </c>
      <c r="G25" s="35"/>
      <c r="H25" s="35"/>
      <c r="I25" s="35"/>
      <c r="J25" s="35"/>
      <c r="K25" s="154">
        <v>0</v>
      </c>
      <c r="L25" s="154">
        <v>110.18</v>
      </c>
      <c r="M25" s="35">
        <f>K25+L25</f>
        <v>110.18</v>
      </c>
    </row>
    <row r="26" spans="1:13" ht="72" customHeight="1">
      <c r="A26" s="17"/>
      <c r="B26" s="32" t="s">
        <v>37</v>
      </c>
      <c r="C26" s="36" t="s">
        <v>13</v>
      </c>
      <c r="D26" s="36" t="s">
        <v>29</v>
      </c>
      <c r="E26" s="37" t="s">
        <v>26</v>
      </c>
      <c r="F26" s="36" t="s">
        <v>27</v>
      </c>
      <c r="G26" s="35">
        <v>747</v>
      </c>
      <c r="H26" s="35">
        <v>0</v>
      </c>
      <c r="I26" s="35">
        <v>747</v>
      </c>
      <c r="J26" s="35">
        <v>0</v>
      </c>
      <c r="K26" s="154">
        <v>747</v>
      </c>
      <c r="L26" s="154">
        <v>0</v>
      </c>
      <c r="M26" s="35">
        <v>747</v>
      </c>
    </row>
    <row r="27" spans="1:13" ht="54" customHeight="1">
      <c r="A27" s="17"/>
      <c r="B27" s="32" t="s">
        <v>38</v>
      </c>
      <c r="C27" s="36" t="s">
        <v>13</v>
      </c>
      <c r="D27" s="36" t="s">
        <v>29</v>
      </c>
      <c r="E27" s="37" t="s">
        <v>26</v>
      </c>
      <c r="F27" s="36" t="s">
        <v>39</v>
      </c>
      <c r="G27" s="22">
        <v>30</v>
      </c>
      <c r="H27" s="22">
        <v>0</v>
      </c>
      <c r="I27" s="22">
        <v>30</v>
      </c>
      <c r="J27" s="22">
        <v>0</v>
      </c>
      <c r="K27" s="53">
        <v>30</v>
      </c>
      <c r="L27" s="53">
        <v>0</v>
      </c>
      <c r="M27" s="22">
        <v>30</v>
      </c>
    </row>
    <row r="28" spans="1:13" ht="15" customHeight="1">
      <c r="A28" s="17"/>
      <c r="B28" s="38" t="s">
        <v>40</v>
      </c>
      <c r="C28" s="39" t="s">
        <v>13</v>
      </c>
      <c r="D28" s="39" t="s">
        <v>41</v>
      </c>
      <c r="E28" s="40"/>
      <c r="F28" s="39"/>
      <c r="G28" s="10">
        <f aca="true" t="shared" si="7" ref="G28:K30">G29</f>
        <v>20</v>
      </c>
      <c r="H28" s="10">
        <f t="shared" si="7"/>
        <v>0</v>
      </c>
      <c r="I28" s="10">
        <f t="shared" si="7"/>
        <v>20</v>
      </c>
      <c r="J28" s="10">
        <f t="shared" si="7"/>
        <v>0</v>
      </c>
      <c r="K28" s="52">
        <f t="shared" si="7"/>
        <v>20</v>
      </c>
      <c r="L28" s="52">
        <f aca="true" t="shared" si="8" ref="L28:M30">L29</f>
        <v>0</v>
      </c>
      <c r="M28" s="10">
        <f t="shared" si="8"/>
        <v>20</v>
      </c>
    </row>
    <row r="29" spans="1:13" ht="15" customHeight="1">
      <c r="A29" s="17"/>
      <c r="B29" s="41" t="s">
        <v>16</v>
      </c>
      <c r="C29" s="29" t="s">
        <v>13</v>
      </c>
      <c r="D29" s="29" t="s">
        <v>41</v>
      </c>
      <c r="E29" s="30" t="s">
        <v>31</v>
      </c>
      <c r="F29" s="29"/>
      <c r="G29" s="22">
        <f t="shared" si="7"/>
        <v>20</v>
      </c>
      <c r="H29" s="22">
        <f t="shared" si="7"/>
        <v>0</v>
      </c>
      <c r="I29" s="22">
        <f t="shared" si="7"/>
        <v>20</v>
      </c>
      <c r="J29" s="22">
        <f t="shared" si="7"/>
        <v>0</v>
      </c>
      <c r="K29" s="53">
        <f t="shared" si="7"/>
        <v>20</v>
      </c>
      <c r="L29" s="53">
        <f t="shared" si="8"/>
        <v>0</v>
      </c>
      <c r="M29" s="22">
        <f t="shared" si="8"/>
        <v>20</v>
      </c>
    </row>
    <row r="30" spans="1:13" ht="20.25" customHeight="1">
      <c r="A30" s="17"/>
      <c r="B30" s="41" t="s">
        <v>42</v>
      </c>
      <c r="C30" s="29" t="s">
        <v>13</v>
      </c>
      <c r="D30" s="29" t="s">
        <v>41</v>
      </c>
      <c r="E30" s="30" t="s">
        <v>32</v>
      </c>
      <c r="F30" s="29"/>
      <c r="G30" s="22">
        <f t="shared" si="7"/>
        <v>20</v>
      </c>
      <c r="H30" s="22">
        <f t="shared" si="7"/>
        <v>0</v>
      </c>
      <c r="I30" s="22">
        <f t="shared" si="7"/>
        <v>20</v>
      </c>
      <c r="J30" s="22">
        <f t="shared" si="7"/>
        <v>0</v>
      </c>
      <c r="K30" s="53">
        <f t="shared" si="7"/>
        <v>20</v>
      </c>
      <c r="L30" s="53">
        <f t="shared" si="8"/>
        <v>0</v>
      </c>
      <c r="M30" s="22">
        <f t="shared" si="8"/>
        <v>20</v>
      </c>
    </row>
    <row r="31" spans="1:13" ht="66" customHeight="1">
      <c r="A31" s="17"/>
      <c r="B31" s="41" t="s">
        <v>43</v>
      </c>
      <c r="C31" s="29" t="s">
        <v>13</v>
      </c>
      <c r="D31" s="29" t="s">
        <v>41</v>
      </c>
      <c r="E31" s="30" t="s">
        <v>44</v>
      </c>
      <c r="F31" s="29" t="s">
        <v>39</v>
      </c>
      <c r="G31" s="22">
        <v>20</v>
      </c>
      <c r="H31" s="22">
        <v>0</v>
      </c>
      <c r="I31" s="22">
        <v>20</v>
      </c>
      <c r="J31" s="22">
        <v>0</v>
      </c>
      <c r="K31" s="53">
        <v>20</v>
      </c>
      <c r="L31" s="53">
        <v>0</v>
      </c>
      <c r="M31" s="22">
        <v>20</v>
      </c>
    </row>
    <row r="32" spans="1:13" ht="37.5" customHeight="1">
      <c r="A32" s="17"/>
      <c r="B32" s="13" t="s">
        <v>45</v>
      </c>
      <c r="C32" s="39" t="s">
        <v>13</v>
      </c>
      <c r="D32" s="39" t="s">
        <v>46</v>
      </c>
      <c r="E32" s="40"/>
      <c r="F32" s="39"/>
      <c r="G32" s="10">
        <f aca="true" t="shared" si="9" ref="G32:L32">G33+G38+G45+G49</f>
        <v>19466.6</v>
      </c>
      <c r="H32" s="10">
        <f t="shared" si="9"/>
        <v>0</v>
      </c>
      <c r="I32" s="10">
        <f t="shared" si="9"/>
        <v>19466.6</v>
      </c>
      <c r="J32" s="10">
        <f t="shared" si="9"/>
        <v>62.099999999999994</v>
      </c>
      <c r="K32" s="52">
        <f t="shared" si="9"/>
        <v>19528.7</v>
      </c>
      <c r="L32" s="52">
        <f t="shared" si="9"/>
        <v>1512.99002</v>
      </c>
      <c r="M32" s="52">
        <f>M33+M38+M45+M49</f>
        <v>21041.69002</v>
      </c>
    </row>
    <row r="33" spans="1:13" ht="67.5" customHeight="1">
      <c r="A33" s="17"/>
      <c r="B33" s="13" t="s">
        <v>47</v>
      </c>
      <c r="C33" s="39" t="s">
        <v>13</v>
      </c>
      <c r="D33" s="39" t="s">
        <v>46</v>
      </c>
      <c r="E33" s="40" t="s">
        <v>13</v>
      </c>
      <c r="F33" s="39"/>
      <c r="G33" s="10">
        <f aca="true" t="shared" si="10" ref="G33:M33">G34+G36</f>
        <v>310</v>
      </c>
      <c r="H33" s="10">
        <f t="shared" si="10"/>
        <v>0</v>
      </c>
      <c r="I33" s="10">
        <f t="shared" si="10"/>
        <v>310</v>
      </c>
      <c r="J33" s="10">
        <f t="shared" si="10"/>
        <v>0</v>
      </c>
      <c r="K33" s="52">
        <f t="shared" si="10"/>
        <v>310</v>
      </c>
      <c r="L33" s="52">
        <f t="shared" si="10"/>
        <v>0</v>
      </c>
      <c r="M33" s="10">
        <f t="shared" si="10"/>
        <v>310</v>
      </c>
    </row>
    <row r="34" spans="1:13" ht="67.5" customHeight="1">
      <c r="A34" s="17"/>
      <c r="B34" s="32" t="s">
        <v>48</v>
      </c>
      <c r="C34" s="29" t="s">
        <v>13</v>
      </c>
      <c r="D34" s="29" t="s">
        <v>46</v>
      </c>
      <c r="E34" s="30" t="s">
        <v>49</v>
      </c>
      <c r="F34" s="29"/>
      <c r="G34" s="22">
        <f aca="true" t="shared" si="11" ref="G34:M34">G35</f>
        <v>10</v>
      </c>
      <c r="H34" s="22">
        <f t="shared" si="11"/>
        <v>0</v>
      </c>
      <c r="I34" s="22">
        <f t="shared" si="11"/>
        <v>10</v>
      </c>
      <c r="J34" s="22">
        <f t="shared" si="11"/>
        <v>0</v>
      </c>
      <c r="K34" s="53">
        <f t="shared" si="11"/>
        <v>10</v>
      </c>
      <c r="L34" s="53">
        <f t="shared" si="11"/>
        <v>0</v>
      </c>
      <c r="M34" s="22">
        <f t="shared" si="11"/>
        <v>10</v>
      </c>
    </row>
    <row r="35" spans="1:13" ht="65.25" customHeight="1">
      <c r="A35" s="17"/>
      <c r="B35" s="32" t="s">
        <v>50</v>
      </c>
      <c r="C35" s="29" t="s">
        <v>13</v>
      </c>
      <c r="D35" s="29" t="s">
        <v>46</v>
      </c>
      <c r="E35" s="30" t="s">
        <v>51</v>
      </c>
      <c r="F35" s="29" t="s">
        <v>27</v>
      </c>
      <c r="G35" s="22">
        <f>10</f>
        <v>10</v>
      </c>
      <c r="H35" s="22">
        <v>0</v>
      </c>
      <c r="I35" s="22">
        <f>10</f>
        <v>10</v>
      </c>
      <c r="J35" s="22">
        <v>0</v>
      </c>
      <c r="K35" s="53">
        <f>10</f>
        <v>10</v>
      </c>
      <c r="L35" s="53">
        <v>0</v>
      </c>
      <c r="M35" s="22">
        <f>10</f>
        <v>10</v>
      </c>
    </row>
    <row r="36" spans="1:13" ht="110.25">
      <c r="A36" s="17"/>
      <c r="B36" s="42" t="s">
        <v>52</v>
      </c>
      <c r="C36" s="43" t="s">
        <v>13</v>
      </c>
      <c r="D36" s="43" t="s">
        <v>46</v>
      </c>
      <c r="E36" s="44" t="s">
        <v>53</v>
      </c>
      <c r="F36" s="43"/>
      <c r="G36" s="22">
        <f aca="true" t="shared" si="12" ref="G36:M36">G37</f>
        <v>300</v>
      </c>
      <c r="H36" s="22">
        <f t="shared" si="12"/>
        <v>0</v>
      </c>
      <c r="I36" s="22">
        <f t="shared" si="12"/>
        <v>300</v>
      </c>
      <c r="J36" s="22">
        <f t="shared" si="12"/>
        <v>0</v>
      </c>
      <c r="K36" s="53">
        <f t="shared" si="12"/>
        <v>300</v>
      </c>
      <c r="L36" s="53">
        <f t="shared" si="12"/>
        <v>0</v>
      </c>
      <c r="M36" s="22">
        <f t="shared" si="12"/>
        <v>300</v>
      </c>
    </row>
    <row r="37" spans="1:13" ht="129.75" customHeight="1">
      <c r="A37" s="17"/>
      <c r="B37" s="25" t="s">
        <v>54</v>
      </c>
      <c r="C37" s="36" t="s">
        <v>13</v>
      </c>
      <c r="D37" s="36" t="s">
        <v>46</v>
      </c>
      <c r="E37" s="30" t="s">
        <v>55</v>
      </c>
      <c r="F37" s="36" t="s">
        <v>27</v>
      </c>
      <c r="G37" s="22">
        <v>300</v>
      </c>
      <c r="H37" s="22">
        <v>0</v>
      </c>
      <c r="I37" s="22">
        <v>300</v>
      </c>
      <c r="J37" s="22">
        <v>0</v>
      </c>
      <c r="K37" s="53">
        <v>300</v>
      </c>
      <c r="L37" s="53">
        <v>0</v>
      </c>
      <c r="M37" s="22">
        <v>300</v>
      </c>
    </row>
    <row r="38" spans="1:13" s="50" customFormat="1" ht="114.75" customHeight="1">
      <c r="A38" s="45"/>
      <c r="B38" s="46" t="s">
        <v>56</v>
      </c>
      <c r="C38" s="47" t="s">
        <v>13</v>
      </c>
      <c r="D38" s="47" t="s">
        <v>46</v>
      </c>
      <c r="E38" s="48" t="s">
        <v>15</v>
      </c>
      <c r="F38" s="49"/>
      <c r="G38" s="10">
        <f aca="true" t="shared" si="13" ref="G38:M38">G39+G41+G43</f>
        <v>17779.5</v>
      </c>
      <c r="H38" s="10">
        <f t="shared" si="13"/>
        <v>0</v>
      </c>
      <c r="I38" s="10">
        <f t="shared" si="13"/>
        <v>17779.5</v>
      </c>
      <c r="J38" s="10">
        <f t="shared" si="13"/>
        <v>0</v>
      </c>
      <c r="K38" s="52">
        <f t="shared" si="13"/>
        <v>17779.5</v>
      </c>
      <c r="L38" s="52">
        <f t="shared" si="13"/>
        <v>1425.5</v>
      </c>
      <c r="M38" s="10">
        <f t="shared" si="13"/>
        <v>19205</v>
      </c>
    </row>
    <row r="39" spans="1:13" ht="38.25" customHeight="1">
      <c r="A39" s="17"/>
      <c r="B39" s="32" t="s">
        <v>57</v>
      </c>
      <c r="C39" s="29" t="s">
        <v>13</v>
      </c>
      <c r="D39" s="29" t="s">
        <v>46</v>
      </c>
      <c r="E39" s="30" t="s">
        <v>58</v>
      </c>
      <c r="F39" s="29"/>
      <c r="G39" s="22">
        <f aca="true" t="shared" si="14" ref="G39:L39">G40</f>
        <v>15029</v>
      </c>
      <c r="H39" s="22">
        <f t="shared" si="14"/>
        <v>0</v>
      </c>
      <c r="I39" s="22">
        <f t="shared" si="14"/>
        <v>15029</v>
      </c>
      <c r="J39" s="22">
        <f t="shared" si="14"/>
        <v>0</v>
      </c>
      <c r="K39" s="53">
        <f t="shared" si="14"/>
        <v>15029</v>
      </c>
      <c r="L39" s="53">
        <f t="shared" si="14"/>
        <v>925.5</v>
      </c>
      <c r="M39" s="22">
        <f>K39+L39</f>
        <v>15954.5</v>
      </c>
    </row>
    <row r="40" spans="1:13" ht="180" customHeight="1">
      <c r="A40" s="17"/>
      <c r="B40" s="32" t="s">
        <v>59</v>
      </c>
      <c r="C40" s="29" t="s">
        <v>13</v>
      </c>
      <c r="D40" s="29" t="s">
        <v>46</v>
      </c>
      <c r="E40" s="30" t="s">
        <v>60</v>
      </c>
      <c r="F40" s="29" t="s">
        <v>22</v>
      </c>
      <c r="G40" s="22">
        <v>15029</v>
      </c>
      <c r="H40" s="22">
        <v>0</v>
      </c>
      <c r="I40" s="22">
        <v>15029</v>
      </c>
      <c r="J40" s="22">
        <v>0</v>
      </c>
      <c r="K40" s="53">
        <v>15029</v>
      </c>
      <c r="L40" s="53">
        <f>288+87+270+82+152.5+46</f>
        <v>925.5</v>
      </c>
      <c r="M40" s="22">
        <f>K40+L40</f>
        <v>15954.5</v>
      </c>
    </row>
    <row r="41" spans="1:13" ht="52.5" customHeight="1">
      <c r="A41" s="17"/>
      <c r="B41" s="32" t="s">
        <v>61</v>
      </c>
      <c r="C41" s="29" t="s">
        <v>13</v>
      </c>
      <c r="D41" s="29" t="s">
        <v>46</v>
      </c>
      <c r="E41" s="30" t="s">
        <v>62</v>
      </c>
      <c r="F41" s="29"/>
      <c r="G41" s="22">
        <f aca="true" t="shared" si="15" ref="G41:M41">G42</f>
        <v>2676.2</v>
      </c>
      <c r="H41" s="22">
        <f t="shared" si="15"/>
        <v>0</v>
      </c>
      <c r="I41" s="22">
        <f t="shared" si="15"/>
        <v>2676.2</v>
      </c>
      <c r="J41" s="22">
        <f t="shared" si="15"/>
        <v>0</v>
      </c>
      <c r="K41" s="53">
        <f t="shared" si="15"/>
        <v>2676.2</v>
      </c>
      <c r="L41" s="53">
        <f t="shared" si="15"/>
        <v>500</v>
      </c>
      <c r="M41" s="22">
        <f t="shared" si="15"/>
        <v>3176.2</v>
      </c>
    </row>
    <row r="42" spans="1:13" ht="96.75" customHeight="1">
      <c r="A42" s="17"/>
      <c r="B42" s="51" t="s">
        <v>63</v>
      </c>
      <c r="C42" s="29" t="s">
        <v>13</v>
      </c>
      <c r="D42" s="29" t="s">
        <v>46</v>
      </c>
      <c r="E42" s="30" t="s">
        <v>64</v>
      </c>
      <c r="F42" s="29" t="s">
        <v>27</v>
      </c>
      <c r="G42" s="22">
        <v>2676.2</v>
      </c>
      <c r="H42" s="22">
        <v>0</v>
      </c>
      <c r="I42" s="22">
        <v>2676.2</v>
      </c>
      <c r="J42" s="22">
        <v>0</v>
      </c>
      <c r="K42" s="53">
        <v>2676.2</v>
      </c>
      <c r="L42" s="53">
        <f>450+50</f>
        <v>500</v>
      </c>
      <c r="M42" s="22">
        <f>2676.2+L42</f>
        <v>3176.2</v>
      </c>
    </row>
    <row r="43" spans="1:13" ht="53.25" customHeight="1">
      <c r="A43" s="17"/>
      <c r="B43" s="51" t="s">
        <v>65</v>
      </c>
      <c r="C43" s="29" t="s">
        <v>13</v>
      </c>
      <c r="D43" s="29" t="s">
        <v>46</v>
      </c>
      <c r="E43" s="30" t="s">
        <v>66</v>
      </c>
      <c r="F43" s="29"/>
      <c r="G43" s="22">
        <f aca="true" t="shared" si="16" ref="G43:M43">G44</f>
        <v>74.3</v>
      </c>
      <c r="H43" s="22">
        <f t="shared" si="16"/>
        <v>0</v>
      </c>
      <c r="I43" s="22">
        <f t="shared" si="16"/>
        <v>74.3</v>
      </c>
      <c r="J43" s="22">
        <f t="shared" si="16"/>
        <v>0</v>
      </c>
      <c r="K43" s="53">
        <f t="shared" si="16"/>
        <v>74.3</v>
      </c>
      <c r="L43" s="53">
        <f t="shared" si="16"/>
        <v>0</v>
      </c>
      <c r="M43" s="22">
        <f t="shared" si="16"/>
        <v>74.3</v>
      </c>
    </row>
    <row r="44" spans="1:13" ht="53.25" customHeight="1">
      <c r="A44" s="17"/>
      <c r="B44" s="51" t="s">
        <v>67</v>
      </c>
      <c r="C44" s="29" t="s">
        <v>13</v>
      </c>
      <c r="D44" s="29" t="s">
        <v>46</v>
      </c>
      <c r="E44" s="30" t="s">
        <v>68</v>
      </c>
      <c r="F44" s="29" t="s">
        <v>39</v>
      </c>
      <c r="G44" s="22">
        <v>74.3</v>
      </c>
      <c r="H44" s="22">
        <v>0</v>
      </c>
      <c r="I44" s="22">
        <v>74.3</v>
      </c>
      <c r="J44" s="22">
        <v>0</v>
      </c>
      <c r="K44" s="53">
        <v>74.3</v>
      </c>
      <c r="L44" s="53">
        <v>0</v>
      </c>
      <c r="M44" s="22">
        <v>74.3</v>
      </c>
    </row>
    <row r="45" spans="1:13" ht="100.5" customHeight="1">
      <c r="A45" s="17"/>
      <c r="B45" s="13" t="s">
        <v>69</v>
      </c>
      <c r="C45" s="39" t="s">
        <v>13</v>
      </c>
      <c r="D45" s="39" t="s">
        <v>46</v>
      </c>
      <c r="E45" s="40" t="s">
        <v>24</v>
      </c>
      <c r="F45" s="29"/>
      <c r="G45" s="10">
        <f>G46</f>
        <v>1364.1</v>
      </c>
      <c r="H45" s="10">
        <f>H46</f>
        <v>0</v>
      </c>
      <c r="I45" s="10">
        <f>I46</f>
        <v>1364.1</v>
      </c>
      <c r="J45" s="52">
        <f>J46</f>
        <v>62.099999999999994</v>
      </c>
      <c r="K45" s="52">
        <f>I45+J45</f>
        <v>1426.1999999999998</v>
      </c>
      <c r="L45" s="52">
        <f>L46</f>
        <v>87.49001999999999</v>
      </c>
      <c r="M45" s="52">
        <f>K45+L45</f>
        <v>1513.6900199999998</v>
      </c>
    </row>
    <row r="46" spans="1:13" ht="36.75" customHeight="1">
      <c r="A46" s="17"/>
      <c r="B46" s="51" t="s">
        <v>70</v>
      </c>
      <c r="C46" s="29" t="s">
        <v>13</v>
      </c>
      <c r="D46" s="29" t="s">
        <v>46</v>
      </c>
      <c r="E46" s="30" t="s">
        <v>71</v>
      </c>
      <c r="F46" s="29"/>
      <c r="G46" s="22">
        <f>G47</f>
        <v>1364.1</v>
      </c>
      <c r="H46" s="22">
        <f>H47</f>
        <v>0</v>
      </c>
      <c r="I46" s="22">
        <f>I47</f>
        <v>1364.1</v>
      </c>
      <c r="J46" s="53">
        <f>J47+J48</f>
        <v>62.099999999999994</v>
      </c>
      <c r="K46" s="53">
        <f>K47+K48</f>
        <v>1426.2</v>
      </c>
      <c r="L46" s="53">
        <f>L47+L48</f>
        <v>87.49001999999999</v>
      </c>
      <c r="M46" s="53">
        <f>M47+M48</f>
        <v>1513.69002</v>
      </c>
    </row>
    <row r="47" spans="1:13" ht="84" customHeight="1">
      <c r="A47" s="17"/>
      <c r="B47" s="51" t="s">
        <v>72</v>
      </c>
      <c r="C47" s="29" t="s">
        <v>13</v>
      </c>
      <c r="D47" s="29" t="s">
        <v>46</v>
      </c>
      <c r="E47" s="30" t="s">
        <v>73</v>
      </c>
      <c r="F47" s="29" t="s">
        <v>27</v>
      </c>
      <c r="G47" s="22">
        <v>1364.1</v>
      </c>
      <c r="H47" s="22">
        <v>0</v>
      </c>
      <c r="I47" s="22">
        <v>1364.1</v>
      </c>
      <c r="J47" s="53">
        <v>-136.58333</v>
      </c>
      <c r="K47" s="53">
        <f>1364.1+J47</f>
        <v>1227.51667</v>
      </c>
      <c r="L47" s="167">
        <f>3.29002+700-400-3.1-100-184.8+68</f>
        <v>83.39001999999999</v>
      </c>
      <c r="M47" s="53">
        <f>K47+L47</f>
        <v>1310.90669</v>
      </c>
    </row>
    <row r="48" spans="1:13" ht="53.25" customHeight="1">
      <c r="A48" s="17"/>
      <c r="B48" s="51" t="s">
        <v>74</v>
      </c>
      <c r="C48" s="29" t="s">
        <v>13</v>
      </c>
      <c r="D48" s="29" t="s">
        <v>46</v>
      </c>
      <c r="E48" s="30" t="s">
        <v>73</v>
      </c>
      <c r="F48" s="29" t="s">
        <v>39</v>
      </c>
      <c r="G48" s="22">
        <v>0</v>
      </c>
      <c r="H48" s="22">
        <v>0</v>
      </c>
      <c r="I48" s="22">
        <v>0</v>
      </c>
      <c r="J48" s="53">
        <f>136.58333+62.1</f>
        <v>198.68332999999998</v>
      </c>
      <c r="K48" s="53">
        <f>I48+J48</f>
        <v>198.68332999999998</v>
      </c>
      <c r="L48" s="53">
        <f>3.1+1</f>
        <v>4.1</v>
      </c>
      <c r="M48" s="53">
        <f>K48+L48</f>
        <v>202.78332999999998</v>
      </c>
    </row>
    <row r="49" spans="1:13" ht="21.75" customHeight="1">
      <c r="A49" s="17"/>
      <c r="B49" s="54" t="s">
        <v>16</v>
      </c>
      <c r="C49" s="55" t="s">
        <v>13</v>
      </c>
      <c r="D49" s="55" t="s">
        <v>46</v>
      </c>
      <c r="E49" s="56" t="s">
        <v>17</v>
      </c>
      <c r="F49" s="57"/>
      <c r="G49" s="10">
        <f aca="true" t="shared" si="17" ref="G49:K50">G50</f>
        <v>13</v>
      </c>
      <c r="H49" s="10">
        <f t="shared" si="17"/>
        <v>0</v>
      </c>
      <c r="I49" s="10">
        <f t="shared" si="17"/>
        <v>13</v>
      </c>
      <c r="J49" s="10">
        <f t="shared" si="17"/>
        <v>0</v>
      </c>
      <c r="K49" s="52">
        <f t="shared" si="17"/>
        <v>13</v>
      </c>
      <c r="L49" s="52">
        <f>L50</f>
        <v>0</v>
      </c>
      <c r="M49" s="10">
        <f>M50</f>
        <v>13</v>
      </c>
    </row>
    <row r="50" spans="1:13" ht="24.75" customHeight="1">
      <c r="A50" s="17"/>
      <c r="B50" s="58" t="s">
        <v>42</v>
      </c>
      <c r="C50" s="59" t="s">
        <v>13</v>
      </c>
      <c r="D50" s="59" t="s">
        <v>46</v>
      </c>
      <c r="E50" s="60" t="s">
        <v>32</v>
      </c>
      <c r="F50" s="61"/>
      <c r="G50" s="22">
        <f t="shared" si="17"/>
        <v>13</v>
      </c>
      <c r="H50" s="22">
        <f t="shared" si="17"/>
        <v>0</v>
      </c>
      <c r="I50" s="22">
        <f t="shared" si="17"/>
        <v>13</v>
      </c>
      <c r="J50" s="22">
        <f t="shared" si="17"/>
        <v>0</v>
      </c>
      <c r="K50" s="53">
        <f t="shared" si="17"/>
        <v>13</v>
      </c>
      <c r="L50" s="53">
        <f>L51</f>
        <v>0</v>
      </c>
      <c r="M50" s="22">
        <f>M51</f>
        <v>13</v>
      </c>
    </row>
    <row r="51" spans="1:13" ht="34.5" customHeight="1">
      <c r="A51" s="17"/>
      <c r="B51" s="23" t="s">
        <v>75</v>
      </c>
      <c r="C51" s="36" t="s">
        <v>13</v>
      </c>
      <c r="D51" s="36" t="s">
        <v>46</v>
      </c>
      <c r="E51" s="62" t="s">
        <v>76</v>
      </c>
      <c r="F51" s="36" t="s">
        <v>39</v>
      </c>
      <c r="G51" s="22">
        <f>13</f>
        <v>13</v>
      </c>
      <c r="H51" s="22">
        <v>0</v>
      </c>
      <c r="I51" s="22">
        <f>13</f>
        <v>13</v>
      </c>
      <c r="J51" s="22">
        <v>0</v>
      </c>
      <c r="K51" s="53">
        <f>13</f>
        <v>13</v>
      </c>
      <c r="L51" s="53">
        <v>0</v>
      </c>
      <c r="M51" s="22">
        <f>13</f>
        <v>13</v>
      </c>
    </row>
    <row r="52" spans="1:13" ht="15" customHeight="1">
      <c r="A52" s="17"/>
      <c r="B52" s="13" t="s">
        <v>77</v>
      </c>
      <c r="C52" s="39" t="s">
        <v>15</v>
      </c>
      <c r="D52" s="39"/>
      <c r="E52" s="30"/>
      <c r="F52" s="29"/>
      <c r="G52" s="10">
        <f aca="true" t="shared" si="18" ref="G52:K54">G53</f>
        <v>868.5</v>
      </c>
      <c r="H52" s="10">
        <f t="shared" si="18"/>
        <v>0</v>
      </c>
      <c r="I52" s="10">
        <f t="shared" si="18"/>
        <v>868.5</v>
      </c>
      <c r="J52" s="10">
        <f t="shared" si="18"/>
        <v>0</v>
      </c>
      <c r="K52" s="52">
        <f t="shared" si="18"/>
        <v>868.5</v>
      </c>
      <c r="L52" s="52">
        <f aca="true" t="shared" si="19" ref="L52:M54">L53</f>
        <v>0</v>
      </c>
      <c r="M52" s="193">
        <f t="shared" si="19"/>
        <v>868.5</v>
      </c>
    </row>
    <row r="53" spans="1:13" ht="36" customHeight="1">
      <c r="A53" s="17"/>
      <c r="B53" s="13" t="s">
        <v>78</v>
      </c>
      <c r="C53" s="39" t="s">
        <v>15</v>
      </c>
      <c r="D53" s="39" t="s">
        <v>24</v>
      </c>
      <c r="E53" s="40"/>
      <c r="F53" s="39"/>
      <c r="G53" s="10">
        <f t="shared" si="18"/>
        <v>868.5</v>
      </c>
      <c r="H53" s="10">
        <f t="shared" si="18"/>
        <v>0</v>
      </c>
      <c r="I53" s="10">
        <f t="shared" si="18"/>
        <v>868.5</v>
      </c>
      <c r="J53" s="10">
        <f t="shared" si="18"/>
        <v>0</v>
      </c>
      <c r="K53" s="52">
        <f t="shared" si="18"/>
        <v>868.5</v>
      </c>
      <c r="L53" s="52">
        <f t="shared" si="19"/>
        <v>0</v>
      </c>
      <c r="M53" s="10">
        <f t="shared" si="19"/>
        <v>868.5</v>
      </c>
    </row>
    <row r="54" spans="1:13" ht="18.75" customHeight="1">
      <c r="A54" s="17"/>
      <c r="B54" s="41" t="s">
        <v>16</v>
      </c>
      <c r="C54" s="29" t="s">
        <v>15</v>
      </c>
      <c r="D54" s="29" t="s">
        <v>24</v>
      </c>
      <c r="E54" s="30" t="s">
        <v>31</v>
      </c>
      <c r="F54" s="29"/>
      <c r="G54" s="22">
        <f t="shared" si="18"/>
        <v>868.5</v>
      </c>
      <c r="H54" s="22">
        <f t="shared" si="18"/>
        <v>0</v>
      </c>
      <c r="I54" s="22">
        <f t="shared" si="18"/>
        <v>868.5</v>
      </c>
      <c r="J54" s="22">
        <f t="shared" si="18"/>
        <v>0</v>
      </c>
      <c r="K54" s="53">
        <f t="shared" si="18"/>
        <v>868.5</v>
      </c>
      <c r="L54" s="53">
        <f t="shared" si="19"/>
        <v>0</v>
      </c>
      <c r="M54" s="22">
        <f t="shared" si="19"/>
        <v>868.5</v>
      </c>
    </row>
    <row r="55" spans="1:13" ht="20.25" customHeight="1">
      <c r="A55" s="17"/>
      <c r="B55" s="41" t="s">
        <v>18</v>
      </c>
      <c r="C55" s="29" t="s">
        <v>15</v>
      </c>
      <c r="D55" s="29" t="s">
        <v>24</v>
      </c>
      <c r="E55" s="30" t="s">
        <v>32</v>
      </c>
      <c r="F55" s="29"/>
      <c r="G55" s="22">
        <f aca="true" t="shared" si="20" ref="G55:M55">G56+G57</f>
        <v>868.5</v>
      </c>
      <c r="H55" s="22">
        <f t="shared" si="20"/>
        <v>0</v>
      </c>
      <c r="I55" s="22">
        <f t="shared" si="20"/>
        <v>868.5</v>
      </c>
      <c r="J55" s="22">
        <f t="shared" si="20"/>
        <v>0</v>
      </c>
      <c r="K55" s="53">
        <f t="shared" si="20"/>
        <v>868.5</v>
      </c>
      <c r="L55" s="53">
        <f t="shared" si="20"/>
        <v>0</v>
      </c>
      <c r="M55" s="22">
        <f t="shared" si="20"/>
        <v>868.5</v>
      </c>
    </row>
    <row r="56" spans="1:13" ht="179.25" customHeight="1">
      <c r="A56" s="17"/>
      <c r="B56" s="19" t="s">
        <v>79</v>
      </c>
      <c r="C56" s="29" t="s">
        <v>15</v>
      </c>
      <c r="D56" s="29" t="s">
        <v>24</v>
      </c>
      <c r="E56" s="30" t="s">
        <v>80</v>
      </c>
      <c r="F56" s="29" t="s">
        <v>22</v>
      </c>
      <c r="G56" s="22">
        <v>761.4</v>
      </c>
      <c r="H56" s="22">
        <v>0</v>
      </c>
      <c r="I56" s="22">
        <v>761.4</v>
      </c>
      <c r="J56" s="22">
        <v>0</v>
      </c>
      <c r="K56" s="53">
        <v>761.4</v>
      </c>
      <c r="L56" s="53">
        <v>0</v>
      </c>
      <c r="M56" s="22">
        <v>761.4</v>
      </c>
    </row>
    <row r="57" spans="1:13" ht="114.75" customHeight="1">
      <c r="A57" s="17"/>
      <c r="B57" s="19" t="s">
        <v>81</v>
      </c>
      <c r="C57" s="29" t="s">
        <v>15</v>
      </c>
      <c r="D57" s="29" t="s">
        <v>24</v>
      </c>
      <c r="E57" s="30" t="s">
        <v>80</v>
      </c>
      <c r="F57" s="29" t="s">
        <v>27</v>
      </c>
      <c r="G57" s="22">
        <v>107.1</v>
      </c>
      <c r="H57" s="22">
        <v>0</v>
      </c>
      <c r="I57" s="22">
        <v>107.1</v>
      </c>
      <c r="J57" s="22">
        <v>0</v>
      </c>
      <c r="K57" s="53">
        <v>107.1</v>
      </c>
      <c r="L57" s="53">
        <v>0</v>
      </c>
      <c r="M57" s="22">
        <v>107.1</v>
      </c>
    </row>
    <row r="58" spans="1:13" ht="39" customHeight="1">
      <c r="A58" s="17"/>
      <c r="B58" s="13" t="s">
        <v>82</v>
      </c>
      <c r="C58" s="39" t="s">
        <v>24</v>
      </c>
      <c r="D58" s="39"/>
      <c r="E58" s="40"/>
      <c r="F58" s="39"/>
      <c r="G58" s="10">
        <f aca="true" t="shared" si="21" ref="G58:M58">G59+G66</f>
        <v>1056.9</v>
      </c>
      <c r="H58" s="10">
        <f t="shared" si="21"/>
        <v>0</v>
      </c>
      <c r="I58" s="10">
        <f t="shared" si="21"/>
        <v>1056.9</v>
      </c>
      <c r="J58" s="10">
        <f t="shared" si="21"/>
        <v>0</v>
      </c>
      <c r="K58" s="52">
        <f t="shared" si="21"/>
        <v>1056.9</v>
      </c>
      <c r="L58" s="52">
        <f t="shared" si="21"/>
        <v>37</v>
      </c>
      <c r="M58" s="193">
        <f t="shared" si="21"/>
        <v>1093.9</v>
      </c>
    </row>
    <row r="59" spans="1:13" ht="69.75" customHeight="1">
      <c r="A59" s="17"/>
      <c r="B59" s="13" t="s">
        <v>83</v>
      </c>
      <c r="C59" s="39" t="s">
        <v>24</v>
      </c>
      <c r="D59" s="39" t="s">
        <v>84</v>
      </c>
      <c r="E59" s="40"/>
      <c r="F59" s="39"/>
      <c r="G59" s="10">
        <f aca="true" t="shared" si="22" ref="G59:M59">G60+G63</f>
        <v>1047.9</v>
      </c>
      <c r="H59" s="10">
        <f t="shared" si="22"/>
        <v>0</v>
      </c>
      <c r="I59" s="10">
        <f t="shared" si="22"/>
        <v>1047.9</v>
      </c>
      <c r="J59" s="10">
        <f t="shared" si="22"/>
        <v>0</v>
      </c>
      <c r="K59" s="52">
        <f t="shared" si="22"/>
        <v>1047.9</v>
      </c>
      <c r="L59" s="52">
        <f t="shared" si="22"/>
        <v>37</v>
      </c>
      <c r="M59" s="10">
        <f t="shared" si="22"/>
        <v>1084.9</v>
      </c>
    </row>
    <row r="60" spans="1:13" ht="82.5" customHeight="1">
      <c r="A60" s="17"/>
      <c r="B60" s="13" t="s">
        <v>85</v>
      </c>
      <c r="C60" s="39" t="s">
        <v>24</v>
      </c>
      <c r="D60" s="39" t="s">
        <v>84</v>
      </c>
      <c r="E60" s="40" t="s">
        <v>29</v>
      </c>
      <c r="F60" s="39"/>
      <c r="G60" s="10">
        <f aca="true" t="shared" si="23" ref="G60:K61">G61</f>
        <v>29</v>
      </c>
      <c r="H60" s="10">
        <f t="shared" si="23"/>
        <v>0</v>
      </c>
      <c r="I60" s="10">
        <f t="shared" si="23"/>
        <v>29</v>
      </c>
      <c r="J60" s="10">
        <f t="shared" si="23"/>
        <v>0</v>
      </c>
      <c r="K60" s="52">
        <f t="shared" si="23"/>
        <v>29</v>
      </c>
      <c r="L60" s="52">
        <f>L61</f>
        <v>0</v>
      </c>
      <c r="M60" s="10">
        <f>M61</f>
        <v>29</v>
      </c>
    </row>
    <row r="61" spans="1:13" ht="35.25" customHeight="1">
      <c r="A61" s="17"/>
      <c r="B61" s="41" t="s">
        <v>86</v>
      </c>
      <c r="C61" s="29" t="s">
        <v>24</v>
      </c>
      <c r="D61" s="29" t="s">
        <v>84</v>
      </c>
      <c r="E61" s="30" t="s">
        <v>87</v>
      </c>
      <c r="F61" s="29"/>
      <c r="G61" s="22">
        <f t="shared" si="23"/>
        <v>29</v>
      </c>
      <c r="H61" s="22">
        <f t="shared" si="23"/>
        <v>0</v>
      </c>
      <c r="I61" s="22">
        <f t="shared" si="23"/>
        <v>29</v>
      </c>
      <c r="J61" s="22">
        <f t="shared" si="23"/>
        <v>0</v>
      </c>
      <c r="K61" s="53">
        <f t="shared" si="23"/>
        <v>29</v>
      </c>
      <c r="L61" s="53">
        <f>L62</f>
        <v>0</v>
      </c>
      <c r="M61" s="22">
        <f>M62</f>
        <v>29</v>
      </c>
    </row>
    <row r="62" spans="1:13" ht="68.25" customHeight="1">
      <c r="A62" s="17"/>
      <c r="B62" s="63" t="s">
        <v>88</v>
      </c>
      <c r="C62" s="29" t="s">
        <v>24</v>
      </c>
      <c r="D62" s="29" t="s">
        <v>84</v>
      </c>
      <c r="E62" s="30" t="s">
        <v>89</v>
      </c>
      <c r="F62" s="29" t="s">
        <v>27</v>
      </c>
      <c r="G62" s="22">
        <v>29</v>
      </c>
      <c r="H62" s="22">
        <v>0</v>
      </c>
      <c r="I62" s="22">
        <v>29</v>
      </c>
      <c r="J62" s="22">
        <v>0</v>
      </c>
      <c r="K62" s="53">
        <v>29</v>
      </c>
      <c r="L62" s="53">
        <v>0</v>
      </c>
      <c r="M62" s="22">
        <v>29</v>
      </c>
    </row>
    <row r="63" spans="1:13" ht="18.75" customHeight="1">
      <c r="A63" s="17"/>
      <c r="B63" s="41" t="s">
        <v>90</v>
      </c>
      <c r="C63" s="29" t="s">
        <v>24</v>
      </c>
      <c r="D63" s="29" t="s">
        <v>84</v>
      </c>
      <c r="E63" s="30" t="s">
        <v>17</v>
      </c>
      <c r="F63" s="29"/>
      <c r="G63" s="22">
        <f aca="true" t="shared" si="24" ref="G63:M63">G64</f>
        <v>1018.9</v>
      </c>
      <c r="H63" s="22">
        <f t="shared" si="24"/>
        <v>0</v>
      </c>
      <c r="I63" s="22">
        <f t="shared" si="24"/>
        <v>1018.9</v>
      </c>
      <c r="J63" s="22">
        <f t="shared" si="24"/>
        <v>0</v>
      </c>
      <c r="K63" s="53">
        <f t="shared" si="24"/>
        <v>1018.9</v>
      </c>
      <c r="L63" s="53">
        <f t="shared" si="24"/>
        <v>37</v>
      </c>
      <c r="M63" s="22">
        <f t="shared" si="24"/>
        <v>1055.9</v>
      </c>
    </row>
    <row r="64" spans="1:13" ht="23.25" customHeight="1">
      <c r="A64" s="17"/>
      <c r="B64" s="41" t="s">
        <v>18</v>
      </c>
      <c r="C64" s="29" t="s">
        <v>24</v>
      </c>
      <c r="D64" s="29" t="s">
        <v>84</v>
      </c>
      <c r="E64" s="30" t="s">
        <v>32</v>
      </c>
      <c r="F64" s="29"/>
      <c r="G64" s="22">
        <v>1018.9</v>
      </c>
      <c r="H64" s="22">
        <v>0</v>
      </c>
      <c r="I64" s="22">
        <v>1018.9</v>
      </c>
      <c r="J64" s="22">
        <v>0</v>
      </c>
      <c r="K64" s="53">
        <v>1018.9</v>
      </c>
      <c r="L64" s="53">
        <f>L65</f>
        <v>37</v>
      </c>
      <c r="M64" s="22">
        <f>M65</f>
        <v>1055.9</v>
      </c>
    </row>
    <row r="65" spans="1:13" ht="87" customHeight="1">
      <c r="A65" s="17"/>
      <c r="B65" s="63" t="s">
        <v>91</v>
      </c>
      <c r="C65" s="29" t="s">
        <v>24</v>
      </c>
      <c r="D65" s="29" t="s">
        <v>84</v>
      </c>
      <c r="E65" s="64" t="s">
        <v>92</v>
      </c>
      <c r="F65" s="65" t="s">
        <v>93</v>
      </c>
      <c r="G65" s="22">
        <v>1018.9</v>
      </c>
      <c r="H65" s="22">
        <v>0</v>
      </c>
      <c r="I65" s="22">
        <v>1018.9</v>
      </c>
      <c r="J65" s="22">
        <v>0</v>
      </c>
      <c r="K65" s="53">
        <v>1018.9</v>
      </c>
      <c r="L65" s="53">
        <f>23+14</f>
        <v>37</v>
      </c>
      <c r="M65" s="22">
        <f>K65+L65</f>
        <v>1055.9</v>
      </c>
    </row>
    <row r="66" spans="1:13" ht="57.75" customHeight="1">
      <c r="A66" s="17"/>
      <c r="B66" s="66" t="s">
        <v>94</v>
      </c>
      <c r="C66" s="39" t="s">
        <v>24</v>
      </c>
      <c r="D66" s="39" t="s">
        <v>95</v>
      </c>
      <c r="E66" s="40"/>
      <c r="F66" s="39"/>
      <c r="G66" s="67">
        <f aca="true" t="shared" si="25" ref="G66:K68">G67</f>
        <v>9</v>
      </c>
      <c r="H66" s="67">
        <f t="shared" si="25"/>
        <v>0</v>
      </c>
      <c r="I66" s="67">
        <f t="shared" si="25"/>
        <v>9</v>
      </c>
      <c r="J66" s="67">
        <f t="shared" si="25"/>
        <v>0</v>
      </c>
      <c r="K66" s="52">
        <f t="shared" si="25"/>
        <v>9</v>
      </c>
      <c r="L66" s="52">
        <f aca="true" t="shared" si="26" ref="L66:M68">L67</f>
        <v>0</v>
      </c>
      <c r="M66" s="10">
        <f t="shared" si="26"/>
        <v>9</v>
      </c>
    </row>
    <row r="67" spans="1:13" ht="100.5" customHeight="1">
      <c r="A67" s="17"/>
      <c r="B67" s="68" t="s">
        <v>96</v>
      </c>
      <c r="C67" s="69" t="s">
        <v>24</v>
      </c>
      <c r="D67" s="69" t="s">
        <v>95</v>
      </c>
      <c r="E67" s="70" t="s">
        <v>97</v>
      </c>
      <c r="F67" s="39"/>
      <c r="G67" s="67">
        <f t="shared" si="25"/>
        <v>9</v>
      </c>
      <c r="H67" s="67">
        <f t="shared" si="25"/>
        <v>0</v>
      </c>
      <c r="I67" s="67">
        <f t="shared" si="25"/>
        <v>9</v>
      </c>
      <c r="J67" s="67">
        <f t="shared" si="25"/>
        <v>0</v>
      </c>
      <c r="K67" s="52">
        <f t="shared" si="25"/>
        <v>9</v>
      </c>
      <c r="L67" s="52">
        <f t="shared" si="26"/>
        <v>0</v>
      </c>
      <c r="M67" s="10">
        <f t="shared" si="26"/>
        <v>9</v>
      </c>
    </row>
    <row r="68" spans="1:13" ht="69" customHeight="1">
      <c r="A68" s="17"/>
      <c r="B68" s="71" t="s">
        <v>98</v>
      </c>
      <c r="C68" s="72" t="s">
        <v>24</v>
      </c>
      <c r="D68" s="72" t="s">
        <v>95</v>
      </c>
      <c r="E68" s="34" t="s">
        <v>99</v>
      </c>
      <c r="F68" s="29"/>
      <c r="G68" s="73">
        <f t="shared" si="25"/>
        <v>9</v>
      </c>
      <c r="H68" s="73">
        <f t="shared" si="25"/>
        <v>0</v>
      </c>
      <c r="I68" s="73">
        <f t="shared" si="25"/>
        <v>9</v>
      </c>
      <c r="J68" s="73">
        <f t="shared" si="25"/>
        <v>0</v>
      </c>
      <c r="K68" s="53">
        <f t="shared" si="25"/>
        <v>9</v>
      </c>
      <c r="L68" s="53">
        <f t="shared" si="26"/>
        <v>0</v>
      </c>
      <c r="M68" s="22">
        <f t="shared" si="26"/>
        <v>9</v>
      </c>
    </row>
    <row r="69" spans="1:13" ht="67.5" customHeight="1">
      <c r="A69" s="17"/>
      <c r="B69" s="71" t="s">
        <v>50</v>
      </c>
      <c r="C69" s="72" t="s">
        <v>24</v>
      </c>
      <c r="D69" s="72" t="s">
        <v>95</v>
      </c>
      <c r="E69" s="34" t="s">
        <v>100</v>
      </c>
      <c r="F69" s="29" t="s">
        <v>27</v>
      </c>
      <c r="G69" s="73">
        <v>9</v>
      </c>
      <c r="H69" s="73">
        <v>0</v>
      </c>
      <c r="I69" s="73">
        <v>9</v>
      </c>
      <c r="J69" s="73">
        <v>0</v>
      </c>
      <c r="K69" s="53">
        <v>9</v>
      </c>
      <c r="L69" s="53">
        <v>0</v>
      </c>
      <c r="M69" s="22">
        <v>9</v>
      </c>
    </row>
    <row r="70" spans="1:13" ht="21" customHeight="1">
      <c r="A70" s="17"/>
      <c r="B70" s="66" t="s">
        <v>101</v>
      </c>
      <c r="C70" s="39" t="s">
        <v>29</v>
      </c>
      <c r="D70" s="39"/>
      <c r="E70" s="40"/>
      <c r="F70" s="39"/>
      <c r="G70" s="10">
        <f aca="true" t="shared" si="27" ref="G70:M70">G71+G75+G102</f>
        <v>18631.1</v>
      </c>
      <c r="H70" s="10">
        <f t="shared" si="27"/>
        <v>310.03</v>
      </c>
      <c r="I70" s="10">
        <f t="shared" si="27"/>
        <v>18941.129999999997</v>
      </c>
      <c r="J70" s="10">
        <f t="shared" si="27"/>
        <v>-189.89999999999998</v>
      </c>
      <c r="K70" s="52">
        <f t="shared" si="27"/>
        <v>18751.23</v>
      </c>
      <c r="L70" s="52">
        <f t="shared" si="27"/>
        <v>17889.55942</v>
      </c>
      <c r="M70" s="192">
        <f t="shared" si="27"/>
        <v>36640.78942</v>
      </c>
    </row>
    <row r="71" spans="1:13" ht="15" customHeight="1">
      <c r="A71" s="17"/>
      <c r="B71" s="74" t="s">
        <v>102</v>
      </c>
      <c r="C71" s="39" t="s">
        <v>29</v>
      </c>
      <c r="D71" s="39" t="s">
        <v>13</v>
      </c>
      <c r="E71" s="40"/>
      <c r="F71" s="39"/>
      <c r="G71" s="10">
        <f aca="true" t="shared" si="28" ref="G71:K73">G72</f>
        <v>650</v>
      </c>
      <c r="H71" s="10">
        <f t="shared" si="28"/>
        <v>0</v>
      </c>
      <c r="I71" s="10">
        <f t="shared" si="28"/>
        <v>650</v>
      </c>
      <c r="J71" s="10">
        <f t="shared" si="28"/>
        <v>-650</v>
      </c>
      <c r="K71" s="52">
        <f t="shared" si="28"/>
        <v>0</v>
      </c>
      <c r="L71" s="52">
        <f aca="true" t="shared" si="29" ref="L71:M73">L72</f>
        <v>655.91608</v>
      </c>
      <c r="M71" s="52">
        <f t="shared" si="29"/>
        <v>655.91608</v>
      </c>
    </row>
    <row r="72" spans="1:13" ht="22.5" customHeight="1">
      <c r="A72" s="17"/>
      <c r="B72" s="63" t="s">
        <v>16</v>
      </c>
      <c r="C72" s="29" t="s">
        <v>29</v>
      </c>
      <c r="D72" s="29" t="s">
        <v>13</v>
      </c>
      <c r="E72" s="30" t="s">
        <v>17</v>
      </c>
      <c r="F72" s="39"/>
      <c r="G72" s="22">
        <f t="shared" si="28"/>
        <v>650</v>
      </c>
      <c r="H72" s="22">
        <f t="shared" si="28"/>
        <v>0</v>
      </c>
      <c r="I72" s="22">
        <f t="shared" si="28"/>
        <v>650</v>
      </c>
      <c r="J72" s="22">
        <f t="shared" si="28"/>
        <v>-650</v>
      </c>
      <c r="K72" s="53">
        <f t="shared" si="28"/>
        <v>0</v>
      </c>
      <c r="L72" s="53">
        <f t="shared" si="29"/>
        <v>655.91608</v>
      </c>
      <c r="M72" s="53">
        <f t="shared" si="29"/>
        <v>655.91608</v>
      </c>
    </row>
    <row r="73" spans="1:13" ht="25.5" customHeight="1">
      <c r="A73" s="17"/>
      <c r="B73" s="41" t="s">
        <v>18</v>
      </c>
      <c r="C73" s="29" t="s">
        <v>29</v>
      </c>
      <c r="D73" s="29" t="s">
        <v>13</v>
      </c>
      <c r="E73" s="30" t="s">
        <v>32</v>
      </c>
      <c r="F73" s="39"/>
      <c r="G73" s="22">
        <f t="shared" si="28"/>
        <v>650</v>
      </c>
      <c r="H73" s="22">
        <f t="shared" si="28"/>
        <v>0</v>
      </c>
      <c r="I73" s="22">
        <f t="shared" si="28"/>
        <v>650</v>
      </c>
      <c r="J73" s="22">
        <f t="shared" si="28"/>
        <v>-650</v>
      </c>
      <c r="K73" s="53">
        <f t="shared" si="28"/>
        <v>0</v>
      </c>
      <c r="L73" s="53">
        <f t="shared" si="29"/>
        <v>655.91608</v>
      </c>
      <c r="M73" s="53">
        <f t="shared" si="29"/>
        <v>655.91608</v>
      </c>
    </row>
    <row r="74" spans="1:13" ht="85.5" customHeight="1">
      <c r="A74" s="17"/>
      <c r="B74" s="71" t="s">
        <v>103</v>
      </c>
      <c r="C74" s="29" t="s">
        <v>29</v>
      </c>
      <c r="D74" s="29" t="s">
        <v>13</v>
      </c>
      <c r="E74" s="30" t="s">
        <v>104</v>
      </c>
      <c r="F74" s="49" t="s">
        <v>39</v>
      </c>
      <c r="G74" s="22">
        <v>650</v>
      </c>
      <c r="H74" s="22">
        <v>0</v>
      </c>
      <c r="I74" s="22">
        <f>650</f>
        <v>650</v>
      </c>
      <c r="J74" s="22">
        <f>-204.9-62.1-252.3-16.6-114.1</f>
        <v>-650</v>
      </c>
      <c r="K74" s="53">
        <f>I74+J74</f>
        <v>0</v>
      </c>
      <c r="L74" s="53">
        <f>1312.1-621-35.18392</f>
        <v>655.91608</v>
      </c>
      <c r="M74" s="53">
        <f>K74+L74</f>
        <v>655.91608</v>
      </c>
    </row>
    <row r="75" spans="1:13" ht="31.5">
      <c r="A75" s="17"/>
      <c r="B75" s="75" t="s">
        <v>105</v>
      </c>
      <c r="C75" s="39" t="s">
        <v>29</v>
      </c>
      <c r="D75" s="39" t="s">
        <v>106</v>
      </c>
      <c r="E75" s="40"/>
      <c r="F75" s="39"/>
      <c r="G75" s="10">
        <f>G80+G98</f>
        <v>16550.1</v>
      </c>
      <c r="H75" s="10">
        <f>H80+H98</f>
        <v>210</v>
      </c>
      <c r="I75" s="10">
        <f>I80+I98</f>
        <v>16760.1</v>
      </c>
      <c r="J75" s="10">
        <f>J80+J98</f>
        <v>60</v>
      </c>
      <c r="K75" s="52">
        <f>K80+K98+K76</f>
        <v>16820.1</v>
      </c>
      <c r="L75" s="52">
        <f>L80+L98+L76</f>
        <v>17117.643340000002</v>
      </c>
      <c r="M75" s="52">
        <f>M80+M98+M76</f>
        <v>33937.74334</v>
      </c>
    </row>
    <row r="76" spans="1:13" ht="121.5" customHeight="1">
      <c r="A76" s="17"/>
      <c r="B76" s="46" t="s">
        <v>56</v>
      </c>
      <c r="C76" s="39" t="s">
        <v>29</v>
      </c>
      <c r="D76" s="39" t="s">
        <v>106</v>
      </c>
      <c r="E76" s="40" t="s">
        <v>15</v>
      </c>
      <c r="F76" s="39"/>
      <c r="G76" s="10"/>
      <c r="H76" s="10"/>
      <c r="I76" s="10"/>
      <c r="J76" s="10"/>
      <c r="K76" s="52">
        <v>0</v>
      </c>
      <c r="L76" s="52">
        <f>L77</f>
        <v>500</v>
      </c>
      <c r="M76" s="10">
        <f>K76+L76</f>
        <v>500</v>
      </c>
    </row>
    <row r="77" spans="1:13" ht="53.25" customHeight="1">
      <c r="A77" s="17"/>
      <c r="B77" s="32" t="s">
        <v>61</v>
      </c>
      <c r="C77" s="29" t="s">
        <v>29</v>
      </c>
      <c r="D77" s="29" t="s">
        <v>106</v>
      </c>
      <c r="E77" s="30" t="s">
        <v>62</v>
      </c>
      <c r="F77" s="39"/>
      <c r="G77" s="10"/>
      <c r="H77" s="10"/>
      <c r="I77" s="10"/>
      <c r="J77" s="10"/>
      <c r="K77" s="52">
        <v>0</v>
      </c>
      <c r="L77" s="52">
        <f>L78</f>
        <v>500</v>
      </c>
      <c r="M77" s="10">
        <f>K77+L77</f>
        <v>500</v>
      </c>
    </row>
    <row r="78" spans="1:13" ht="96.75" customHeight="1">
      <c r="A78" s="17"/>
      <c r="B78" s="51" t="s">
        <v>63</v>
      </c>
      <c r="C78" s="29" t="s">
        <v>29</v>
      </c>
      <c r="D78" s="29" t="s">
        <v>106</v>
      </c>
      <c r="E78" s="30" t="s">
        <v>64</v>
      </c>
      <c r="F78" s="29" t="s">
        <v>27</v>
      </c>
      <c r="G78" s="10"/>
      <c r="H78" s="10"/>
      <c r="I78" s="10"/>
      <c r="J78" s="10"/>
      <c r="K78" s="52">
        <v>0</v>
      </c>
      <c r="L78" s="52">
        <f>250+250</f>
        <v>500</v>
      </c>
      <c r="M78" s="22">
        <f>K78+L78</f>
        <v>500</v>
      </c>
    </row>
    <row r="79" spans="1:13" ht="61.5" customHeight="1">
      <c r="A79" s="17"/>
      <c r="B79" s="85" t="s">
        <v>121</v>
      </c>
      <c r="C79" s="195" t="s">
        <v>29</v>
      </c>
      <c r="D79" s="195" t="s">
        <v>106</v>
      </c>
      <c r="E79" s="196" t="s">
        <v>64</v>
      </c>
      <c r="F79" s="195" t="s">
        <v>27</v>
      </c>
      <c r="G79" s="10"/>
      <c r="H79" s="10"/>
      <c r="I79" s="10"/>
      <c r="J79" s="10"/>
      <c r="K79" s="166">
        <v>0</v>
      </c>
      <c r="L79" s="166">
        <v>500</v>
      </c>
      <c r="M79" s="208">
        <f>K79+L79</f>
        <v>500</v>
      </c>
    </row>
    <row r="80" spans="1:13" ht="83.25" customHeight="1">
      <c r="A80" s="17"/>
      <c r="B80" s="75" t="s">
        <v>107</v>
      </c>
      <c r="C80" s="39" t="s">
        <v>29</v>
      </c>
      <c r="D80" s="39" t="s">
        <v>106</v>
      </c>
      <c r="E80" s="40" t="s">
        <v>108</v>
      </c>
      <c r="F80" s="39"/>
      <c r="G80" s="10">
        <f aca="true" t="shared" si="30" ref="G80:M80">G81+G85+G91+G93+G95</f>
        <v>16250.099999999999</v>
      </c>
      <c r="H80" s="10">
        <f t="shared" si="30"/>
        <v>210</v>
      </c>
      <c r="I80" s="10">
        <f t="shared" si="30"/>
        <v>16460.1</v>
      </c>
      <c r="J80" s="10">
        <f t="shared" si="30"/>
        <v>60</v>
      </c>
      <c r="K80" s="52">
        <f t="shared" si="30"/>
        <v>16520.1</v>
      </c>
      <c r="L80" s="52">
        <f t="shared" si="30"/>
        <v>16246.985340000003</v>
      </c>
      <c r="M80" s="52">
        <f t="shared" si="30"/>
        <v>32767.08534</v>
      </c>
    </row>
    <row r="81" spans="1:13" ht="78.75">
      <c r="A81" s="17"/>
      <c r="B81" s="19" t="s">
        <v>109</v>
      </c>
      <c r="C81" s="29" t="s">
        <v>29</v>
      </c>
      <c r="D81" s="29" t="s">
        <v>106</v>
      </c>
      <c r="E81" s="30" t="s">
        <v>110</v>
      </c>
      <c r="F81" s="29"/>
      <c r="G81" s="22">
        <f>G82</f>
        <v>9126.3</v>
      </c>
      <c r="H81" s="22">
        <f>H82</f>
        <v>0</v>
      </c>
      <c r="I81" s="22">
        <f>I82</f>
        <v>9126.3</v>
      </c>
      <c r="J81" s="22">
        <f>J82</f>
        <v>0</v>
      </c>
      <c r="K81" s="53">
        <f>K82</f>
        <v>9126.3</v>
      </c>
      <c r="L81" s="53">
        <f>L82+L84</f>
        <v>9222.38534</v>
      </c>
      <c r="M81" s="53">
        <f>M82+M84</f>
        <v>18348.68534</v>
      </c>
    </row>
    <row r="82" spans="1:13" ht="117.75" customHeight="1">
      <c r="A82" s="17"/>
      <c r="B82" s="32" t="s">
        <v>111</v>
      </c>
      <c r="C82" s="76" t="s">
        <v>29</v>
      </c>
      <c r="D82" s="29" t="s">
        <v>106</v>
      </c>
      <c r="E82" s="30" t="s">
        <v>112</v>
      </c>
      <c r="F82" s="29" t="s">
        <v>27</v>
      </c>
      <c r="G82" s="22">
        <v>9126.3</v>
      </c>
      <c r="H82" s="22">
        <v>0</v>
      </c>
      <c r="I82" s="22">
        <v>9126.3</v>
      </c>
      <c r="J82" s="22">
        <v>0</v>
      </c>
      <c r="K82" s="53">
        <v>9126.3</v>
      </c>
      <c r="L82" s="53">
        <v>2500</v>
      </c>
      <c r="M82" s="22">
        <f>K82+L82</f>
        <v>11626.3</v>
      </c>
    </row>
    <row r="83" spans="1:13" ht="38.25" customHeight="1">
      <c r="A83" s="17"/>
      <c r="B83" s="201" t="s">
        <v>113</v>
      </c>
      <c r="C83" s="197" t="s">
        <v>29</v>
      </c>
      <c r="D83" s="195" t="s">
        <v>106</v>
      </c>
      <c r="E83" s="196" t="s">
        <v>112</v>
      </c>
      <c r="F83" s="195" t="s">
        <v>27</v>
      </c>
      <c r="G83" s="194">
        <v>1825.3</v>
      </c>
      <c r="H83" s="194">
        <v>0</v>
      </c>
      <c r="I83" s="194">
        <v>1825.3</v>
      </c>
      <c r="J83" s="194">
        <v>0</v>
      </c>
      <c r="K83" s="166">
        <v>1825.3</v>
      </c>
      <c r="L83" s="166">
        <v>500</v>
      </c>
      <c r="M83" s="194">
        <f>K83+L83</f>
        <v>2325.3</v>
      </c>
    </row>
    <row r="84" spans="1:13" ht="119.25" customHeight="1">
      <c r="A84" s="17"/>
      <c r="B84" s="160" t="s">
        <v>339</v>
      </c>
      <c r="C84" s="77" t="s">
        <v>29</v>
      </c>
      <c r="D84" s="36" t="s">
        <v>106</v>
      </c>
      <c r="E84" s="30" t="s">
        <v>340</v>
      </c>
      <c r="F84" s="29" t="s">
        <v>27</v>
      </c>
      <c r="G84" s="22">
        <v>0</v>
      </c>
      <c r="H84" s="22">
        <v>0</v>
      </c>
      <c r="I84" s="22">
        <v>0</v>
      </c>
      <c r="J84" s="22">
        <v>0</v>
      </c>
      <c r="K84" s="53">
        <v>0</v>
      </c>
      <c r="L84" s="53">
        <f>1446.1+2380.6+51+4518.7-1358.1-267.96678-47.94788</f>
        <v>6722.38534</v>
      </c>
      <c r="M84" s="53">
        <f>K84+L84</f>
        <v>6722.38534</v>
      </c>
    </row>
    <row r="85" spans="1:13" ht="84.75" customHeight="1">
      <c r="A85" s="17"/>
      <c r="B85" s="19" t="s">
        <v>114</v>
      </c>
      <c r="C85" s="77" t="s">
        <v>29</v>
      </c>
      <c r="D85" s="36" t="s">
        <v>106</v>
      </c>
      <c r="E85" s="30" t="s">
        <v>115</v>
      </c>
      <c r="F85" s="29"/>
      <c r="G85" s="22">
        <f aca="true" t="shared" si="31" ref="G85:M85">G86+G88</f>
        <v>4300</v>
      </c>
      <c r="H85" s="22">
        <f t="shared" si="31"/>
        <v>210</v>
      </c>
      <c r="I85" s="22">
        <f t="shared" si="31"/>
        <v>4510</v>
      </c>
      <c r="J85" s="22">
        <f t="shared" si="31"/>
        <v>60</v>
      </c>
      <c r="K85" s="53">
        <f t="shared" si="31"/>
        <v>4570</v>
      </c>
      <c r="L85" s="53">
        <f>L86+L88</f>
        <v>5222.6827</v>
      </c>
      <c r="M85" s="53">
        <f t="shared" si="31"/>
        <v>9792.682700000001</v>
      </c>
    </row>
    <row r="86" spans="1:13" ht="110.25">
      <c r="A86" s="17"/>
      <c r="B86" s="78" t="s">
        <v>116</v>
      </c>
      <c r="C86" s="36" t="s">
        <v>29</v>
      </c>
      <c r="D86" s="36" t="s">
        <v>106</v>
      </c>
      <c r="E86" s="30" t="s">
        <v>117</v>
      </c>
      <c r="F86" s="29" t="s">
        <v>27</v>
      </c>
      <c r="G86" s="22">
        <v>4300</v>
      </c>
      <c r="H86" s="22">
        <v>0</v>
      </c>
      <c r="I86" s="22">
        <v>4300</v>
      </c>
      <c r="J86" s="22">
        <v>0</v>
      </c>
      <c r="K86" s="53">
        <v>4300</v>
      </c>
      <c r="L86" s="165">
        <f>133.5+2000+857.3227+1541.86</f>
        <v>4532.6827</v>
      </c>
      <c r="M86" s="53">
        <f>4300+L86</f>
        <v>8832.682700000001</v>
      </c>
    </row>
    <row r="87" spans="1:13" ht="116.25" customHeight="1" hidden="1">
      <c r="A87" s="17"/>
      <c r="B87" s="79" t="s">
        <v>118</v>
      </c>
      <c r="C87" s="36" t="s">
        <v>29</v>
      </c>
      <c r="D87" s="36" t="s">
        <v>106</v>
      </c>
      <c r="E87" s="80" t="s">
        <v>119</v>
      </c>
      <c r="F87" s="29" t="s">
        <v>27</v>
      </c>
      <c r="G87" s="22">
        <v>0</v>
      </c>
      <c r="H87" s="22">
        <v>0</v>
      </c>
      <c r="I87" s="22">
        <v>0</v>
      </c>
      <c r="J87" s="22">
        <v>0</v>
      </c>
      <c r="K87" s="53">
        <v>0</v>
      </c>
      <c r="L87" s="53">
        <v>0</v>
      </c>
      <c r="M87" s="53">
        <v>0</v>
      </c>
    </row>
    <row r="88" spans="1:13" ht="97.5" customHeight="1">
      <c r="A88" s="17"/>
      <c r="B88" s="81" t="s">
        <v>120</v>
      </c>
      <c r="C88" s="82" t="s">
        <v>29</v>
      </c>
      <c r="D88" s="82" t="s">
        <v>106</v>
      </c>
      <c r="E88" s="83" t="s">
        <v>119</v>
      </c>
      <c r="F88" s="84" t="s">
        <v>27</v>
      </c>
      <c r="G88" s="22">
        <v>0</v>
      </c>
      <c r="H88" s="22">
        <v>210</v>
      </c>
      <c r="I88" s="22">
        <f>+H88</f>
        <v>210</v>
      </c>
      <c r="J88" s="22">
        <f>J89</f>
        <v>60</v>
      </c>
      <c r="K88" s="53">
        <f>I88+J88</f>
        <v>270</v>
      </c>
      <c r="L88" s="53">
        <f>L89+L90</f>
        <v>690</v>
      </c>
      <c r="M88" s="22">
        <f>K88+L88</f>
        <v>960</v>
      </c>
    </row>
    <row r="89" spans="1:13" ht="68.25" customHeight="1">
      <c r="A89" s="17"/>
      <c r="B89" s="85" t="s">
        <v>121</v>
      </c>
      <c r="C89" s="86" t="s">
        <v>29</v>
      </c>
      <c r="D89" s="86" t="s">
        <v>106</v>
      </c>
      <c r="E89" s="87" t="s">
        <v>119</v>
      </c>
      <c r="F89" s="88" t="s">
        <v>27</v>
      </c>
      <c r="G89" s="22">
        <v>0</v>
      </c>
      <c r="H89" s="22">
        <v>210</v>
      </c>
      <c r="I89" s="22">
        <f>I88</f>
        <v>210</v>
      </c>
      <c r="J89" s="22">
        <f>40+20</f>
        <v>60</v>
      </c>
      <c r="K89" s="53">
        <f>I89+J89</f>
        <v>270</v>
      </c>
      <c r="L89" s="165">
        <f>130+70+150-250</f>
        <v>100</v>
      </c>
      <c r="M89" s="205">
        <f>K89+L89</f>
        <v>370</v>
      </c>
    </row>
    <row r="90" spans="1:13" ht="68.25" customHeight="1">
      <c r="A90" s="17"/>
      <c r="B90" s="164" t="s">
        <v>354</v>
      </c>
      <c r="C90" s="86" t="s">
        <v>29</v>
      </c>
      <c r="D90" s="86" t="s">
        <v>106</v>
      </c>
      <c r="E90" s="206" t="s">
        <v>119</v>
      </c>
      <c r="F90" s="88" t="s">
        <v>27</v>
      </c>
      <c r="G90" s="22"/>
      <c r="H90" s="22"/>
      <c r="I90" s="22"/>
      <c r="J90" s="22"/>
      <c r="K90" s="53">
        <v>0</v>
      </c>
      <c r="L90" s="53">
        <f>295+295</f>
        <v>590</v>
      </c>
      <c r="M90" s="22">
        <f>K90+L90</f>
        <v>590</v>
      </c>
    </row>
    <row r="91" spans="1:13" ht="36.75" customHeight="1">
      <c r="A91" s="17"/>
      <c r="B91" s="89" t="s">
        <v>122</v>
      </c>
      <c r="C91" s="36" t="s">
        <v>29</v>
      </c>
      <c r="D91" s="36" t="s">
        <v>106</v>
      </c>
      <c r="E91" s="30" t="s">
        <v>123</v>
      </c>
      <c r="F91" s="29"/>
      <c r="G91" s="22">
        <f aca="true" t="shared" si="32" ref="G91:M91">G92</f>
        <v>700</v>
      </c>
      <c r="H91" s="22">
        <f t="shared" si="32"/>
        <v>0</v>
      </c>
      <c r="I91" s="22">
        <f t="shared" si="32"/>
        <v>700</v>
      </c>
      <c r="J91" s="22">
        <f t="shared" si="32"/>
        <v>-214.08</v>
      </c>
      <c r="K91" s="53">
        <f t="shared" si="32"/>
        <v>485.91999999999996</v>
      </c>
      <c r="L91" s="53">
        <f t="shared" si="32"/>
        <v>1341.04</v>
      </c>
      <c r="M91" s="22">
        <f t="shared" si="32"/>
        <v>1826.96</v>
      </c>
    </row>
    <row r="92" spans="1:13" ht="85.5" customHeight="1">
      <c r="A92" s="17"/>
      <c r="B92" s="19" t="s">
        <v>124</v>
      </c>
      <c r="C92" s="36" t="s">
        <v>29</v>
      </c>
      <c r="D92" s="36" t="s">
        <v>106</v>
      </c>
      <c r="E92" s="30" t="s">
        <v>125</v>
      </c>
      <c r="F92" s="29" t="s">
        <v>27</v>
      </c>
      <c r="G92" s="22">
        <f>1000-300</f>
        <v>700</v>
      </c>
      <c r="H92" s="22">
        <v>0</v>
      </c>
      <c r="I92" s="22">
        <f>1000-300</f>
        <v>700</v>
      </c>
      <c r="J92" s="22">
        <f>-107.04+-107.04</f>
        <v>-214.08</v>
      </c>
      <c r="K92" s="53">
        <f>I92+J92</f>
        <v>485.91999999999996</v>
      </c>
      <c r="L92" s="53">
        <f>-26.46+1367.5</f>
        <v>1341.04</v>
      </c>
      <c r="M92" s="22">
        <f>K92+L92</f>
        <v>1826.96</v>
      </c>
    </row>
    <row r="93" spans="1:13" ht="47.25" customHeight="1" hidden="1">
      <c r="A93" s="17"/>
      <c r="B93" s="19" t="s">
        <v>126</v>
      </c>
      <c r="C93" s="36" t="s">
        <v>29</v>
      </c>
      <c r="D93" s="36" t="s">
        <v>106</v>
      </c>
      <c r="E93" s="30" t="s">
        <v>127</v>
      </c>
      <c r="F93" s="29"/>
      <c r="G93" s="22">
        <f aca="true" t="shared" si="33" ref="G93:M93">G94</f>
        <v>0</v>
      </c>
      <c r="H93" s="22">
        <f t="shared" si="33"/>
        <v>0</v>
      </c>
      <c r="I93" s="22">
        <f t="shared" si="33"/>
        <v>0</v>
      </c>
      <c r="J93" s="22">
        <f t="shared" si="33"/>
        <v>0</v>
      </c>
      <c r="K93" s="53">
        <f t="shared" si="33"/>
        <v>0</v>
      </c>
      <c r="L93" s="53">
        <f t="shared" si="33"/>
        <v>0</v>
      </c>
      <c r="M93" s="53">
        <f t="shared" si="33"/>
        <v>0</v>
      </c>
    </row>
    <row r="94" spans="1:13" ht="99.75" customHeight="1" hidden="1">
      <c r="A94" s="17"/>
      <c r="B94" s="19" t="s">
        <v>128</v>
      </c>
      <c r="C94" s="90" t="s">
        <v>29</v>
      </c>
      <c r="D94" s="90" t="s">
        <v>106</v>
      </c>
      <c r="E94" s="64" t="s">
        <v>129</v>
      </c>
      <c r="F94" s="29" t="s">
        <v>27</v>
      </c>
      <c r="G94" s="22">
        <v>0</v>
      </c>
      <c r="H94" s="22">
        <v>0</v>
      </c>
      <c r="I94" s="22">
        <v>0</v>
      </c>
      <c r="J94" s="22">
        <v>0</v>
      </c>
      <c r="K94" s="53">
        <v>0</v>
      </c>
      <c r="L94" s="53">
        <v>0</v>
      </c>
      <c r="M94" s="53">
        <v>0</v>
      </c>
    </row>
    <row r="95" spans="1:13" ht="54.75" customHeight="1">
      <c r="A95" s="17"/>
      <c r="B95" s="19" t="s">
        <v>130</v>
      </c>
      <c r="C95" s="90" t="s">
        <v>29</v>
      </c>
      <c r="D95" s="90" t="s">
        <v>106</v>
      </c>
      <c r="E95" s="64" t="s">
        <v>131</v>
      </c>
      <c r="F95" s="29"/>
      <c r="G95" s="22">
        <f>G96</f>
        <v>2123.8</v>
      </c>
      <c r="H95" s="22">
        <f>H96</f>
        <v>0</v>
      </c>
      <c r="I95" s="22">
        <f>I96</f>
        <v>2123.8</v>
      </c>
      <c r="J95" s="22">
        <f>J96</f>
        <v>214.08</v>
      </c>
      <c r="K95" s="53">
        <f>K96+K97</f>
        <v>2337.88</v>
      </c>
      <c r="L95" s="53">
        <f>L96+L97</f>
        <v>460.8773</v>
      </c>
      <c r="M95" s="53">
        <f>M96+M97</f>
        <v>2798.7573</v>
      </c>
    </row>
    <row r="96" spans="1:13" ht="82.5" customHeight="1">
      <c r="A96" s="17"/>
      <c r="B96" s="19" t="s">
        <v>132</v>
      </c>
      <c r="C96" s="90" t="s">
        <v>29</v>
      </c>
      <c r="D96" s="90" t="s">
        <v>106</v>
      </c>
      <c r="E96" s="91" t="s">
        <v>133</v>
      </c>
      <c r="F96" s="29" t="s">
        <v>27</v>
      </c>
      <c r="G96" s="22">
        <v>2123.8</v>
      </c>
      <c r="H96" s="22">
        <v>0</v>
      </c>
      <c r="I96" s="22">
        <v>2123.8</v>
      </c>
      <c r="J96" s="22">
        <f>107.04+107.04</f>
        <v>214.08</v>
      </c>
      <c r="K96" s="53">
        <f>2123.8+J96</f>
        <v>2337.88</v>
      </c>
      <c r="L96" s="167">
        <f>-30-107.04+462-457.455-114.8677+678.24</f>
        <v>430.8773</v>
      </c>
      <c r="M96" s="53">
        <f>2337.88+L96</f>
        <v>2768.7573</v>
      </c>
    </row>
    <row r="97" spans="1:13" ht="53.25" customHeight="1">
      <c r="A97" s="17"/>
      <c r="B97" s="19" t="s">
        <v>338</v>
      </c>
      <c r="C97" s="90" t="s">
        <v>29</v>
      </c>
      <c r="D97" s="90" t="s">
        <v>106</v>
      </c>
      <c r="E97" s="91" t="s">
        <v>133</v>
      </c>
      <c r="F97" s="29" t="s">
        <v>39</v>
      </c>
      <c r="G97" s="22">
        <v>0</v>
      </c>
      <c r="H97" s="22">
        <v>0</v>
      </c>
      <c r="I97" s="22">
        <v>0</v>
      </c>
      <c r="J97" s="22">
        <v>0</v>
      </c>
      <c r="K97" s="53">
        <v>0</v>
      </c>
      <c r="L97" s="53">
        <v>30</v>
      </c>
      <c r="M97" s="22">
        <f>K97+L97</f>
        <v>30</v>
      </c>
    </row>
    <row r="98" spans="1:13" ht="158.25" customHeight="1">
      <c r="A98" s="17"/>
      <c r="B98" s="13" t="s">
        <v>134</v>
      </c>
      <c r="C98" s="39" t="s">
        <v>29</v>
      </c>
      <c r="D98" s="39" t="s">
        <v>106</v>
      </c>
      <c r="E98" s="40" t="s">
        <v>135</v>
      </c>
      <c r="F98" s="39"/>
      <c r="G98" s="10">
        <f aca="true" t="shared" si="34" ref="G98:K99">G99</f>
        <v>300</v>
      </c>
      <c r="H98" s="10">
        <f t="shared" si="34"/>
        <v>0</v>
      </c>
      <c r="I98" s="10">
        <f t="shared" si="34"/>
        <v>300</v>
      </c>
      <c r="J98" s="10">
        <f t="shared" si="34"/>
        <v>0</v>
      </c>
      <c r="K98" s="52">
        <f t="shared" si="34"/>
        <v>300</v>
      </c>
      <c r="L98" s="52">
        <f>L99</f>
        <v>370.658</v>
      </c>
      <c r="M98" s="67">
        <f>M99</f>
        <v>670.658</v>
      </c>
    </row>
    <row r="99" spans="1:13" ht="54" customHeight="1">
      <c r="A99" s="17"/>
      <c r="B99" s="89" t="s">
        <v>136</v>
      </c>
      <c r="C99" s="65" t="s">
        <v>29</v>
      </c>
      <c r="D99" s="65" t="s">
        <v>106</v>
      </c>
      <c r="E99" s="64" t="s">
        <v>137</v>
      </c>
      <c r="F99" s="65"/>
      <c r="G99" s="22">
        <f t="shared" si="34"/>
        <v>300</v>
      </c>
      <c r="H99" s="22">
        <f t="shared" si="34"/>
        <v>0</v>
      </c>
      <c r="I99" s="22">
        <f t="shared" si="34"/>
        <v>300</v>
      </c>
      <c r="J99" s="22">
        <f t="shared" si="34"/>
        <v>0</v>
      </c>
      <c r="K99" s="53">
        <f t="shared" si="34"/>
        <v>300</v>
      </c>
      <c r="L99" s="53">
        <f>L100+L101</f>
        <v>370.658</v>
      </c>
      <c r="M99" s="73">
        <f>M100+M101</f>
        <v>670.658</v>
      </c>
    </row>
    <row r="100" spans="1:13" ht="177.75" customHeight="1">
      <c r="A100" s="17"/>
      <c r="B100" s="19" t="s">
        <v>138</v>
      </c>
      <c r="C100" s="65" t="s">
        <v>29</v>
      </c>
      <c r="D100" s="65" t="s">
        <v>106</v>
      </c>
      <c r="E100" s="64" t="s">
        <v>139</v>
      </c>
      <c r="F100" s="65" t="s">
        <v>27</v>
      </c>
      <c r="G100" s="22">
        <v>300</v>
      </c>
      <c r="H100" s="22">
        <v>0</v>
      </c>
      <c r="I100" s="22">
        <v>300</v>
      </c>
      <c r="J100" s="22">
        <v>0</v>
      </c>
      <c r="K100" s="53">
        <v>300</v>
      </c>
      <c r="L100" s="167">
        <f>687.6-81.942-285</f>
        <v>320.658</v>
      </c>
      <c r="M100" s="73">
        <f>K100+L100</f>
        <v>620.658</v>
      </c>
    </row>
    <row r="101" spans="1:13" ht="164.25" customHeight="1">
      <c r="A101" s="17"/>
      <c r="B101" s="19" t="s">
        <v>347</v>
      </c>
      <c r="C101" s="65" t="s">
        <v>29</v>
      </c>
      <c r="D101" s="65" t="s">
        <v>106</v>
      </c>
      <c r="E101" s="64" t="s">
        <v>139</v>
      </c>
      <c r="F101" s="65" t="s">
        <v>39</v>
      </c>
      <c r="G101" s="22">
        <v>0</v>
      </c>
      <c r="H101" s="22">
        <v>0</v>
      </c>
      <c r="I101" s="22">
        <v>0</v>
      </c>
      <c r="J101" s="22">
        <v>0</v>
      </c>
      <c r="K101" s="53">
        <v>0</v>
      </c>
      <c r="L101" s="53">
        <v>50</v>
      </c>
      <c r="M101" s="22">
        <f>K101+L101</f>
        <v>50</v>
      </c>
    </row>
    <row r="102" spans="1:13" ht="37.5" customHeight="1">
      <c r="A102" s="17"/>
      <c r="B102" s="13" t="s">
        <v>140</v>
      </c>
      <c r="C102" s="39" t="s">
        <v>29</v>
      </c>
      <c r="D102" s="39" t="s">
        <v>141</v>
      </c>
      <c r="E102" s="40"/>
      <c r="F102" s="39"/>
      <c r="G102" s="10">
        <f>G103+G106+G109+G113+G116+G119</f>
        <v>1431</v>
      </c>
      <c r="H102" s="10">
        <f aca="true" t="shared" si="35" ref="H102:M102">H103+H106+H109+H113+H116+H119+H124</f>
        <v>100.03</v>
      </c>
      <c r="I102" s="10">
        <f t="shared" si="35"/>
        <v>1531.03</v>
      </c>
      <c r="J102" s="10">
        <f t="shared" si="35"/>
        <v>400.1</v>
      </c>
      <c r="K102" s="52">
        <f t="shared" si="35"/>
        <v>1931.13</v>
      </c>
      <c r="L102" s="52">
        <f t="shared" si="35"/>
        <v>116</v>
      </c>
      <c r="M102" s="10">
        <f t="shared" si="35"/>
        <v>2047.13</v>
      </c>
    </row>
    <row r="103" spans="1:13" ht="102" customHeight="1">
      <c r="A103" s="17"/>
      <c r="B103" s="13" t="s">
        <v>142</v>
      </c>
      <c r="C103" s="39" t="s">
        <v>29</v>
      </c>
      <c r="D103" s="39" t="s">
        <v>143</v>
      </c>
      <c r="E103" s="40" t="s">
        <v>144</v>
      </c>
      <c r="F103" s="39"/>
      <c r="G103" s="10">
        <f aca="true" t="shared" si="36" ref="G103:K104">G104</f>
        <v>50</v>
      </c>
      <c r="H103" s="10">
        <f t="shared" si="36"/>
        <v>0</v>
      </c>
      <c r="I103" s="10">
        <f t="shared" si="36"/>
        <v>50</v>
      </c>
      <c r="J103" s="10">
        <f t="shared" si="36"/>
        <v>0</v>
      </c>
      <c r="K103" s="52">
        <f t="shared" si="36"/>
        <v>50</v>
      </c>
      <c r="L103" s="52">
        <f>L104</f>
        <v>0</v>
      </c>
      <c r="M103" s="10">
        <f>M104</f>
        <v>50</v>
      </c>
    </row>
    <row r="104" spans="1:13" ht="37.5" customHeight="1">
      <c r="A104" s="17"/>
      <c r="B104" s="41" t="s">
        <v>145</v>
      </c>
      <c r="C104" s="29" t="s">
        <v>29</v>
      </c>
      <c r="D104" s="29" t="s">
        <v>141</v>
      </c>
      <c r="E104" s="30" t="s">
        <v>146</v>
      </c>
      <c r="F104" s="29"/>
      <c r="G104" s="22">
        <f t="shared" si="36"/>
        <v>50</v>
      </c>
      <c r="H104" s="22">
        <f t="shared" si="36"/>
        <v>0</v>
      </c>
      <c r="I104" s="22">
        <f t="shared" si="36"/>
        <v>50</v>
      </c>
      <c r="J104" s="22">
        <f t="shared" si="36"/>
        <v>0</v>
      </c>
      <c r="K104" s="53">
        <f t="shared" si="36"/>
        <v>50</v>
      </c>
      <c r="L104" s="53">
        <f>L105</f>
        <v>0</v>
      </c>
      <c r="M104" s="22">
        <f>M105</f>
        <v>50</v>
      </c>
    </row>
    <row r="105" spans="1:13" ht="71.25" customHeight="1">
      <c r="A105" s="17"/>
      <c r="B105" s="41" t="s">
        <v>147</v>
      </c>
      <c r="C105" s="29" t="s">
        <v>29</v>
      </c>
      <c r="D105" s="29" t="s">
        <v>141</v>
      </c>
      <c r="E105" s="30" t="s">
        <v>148</v>
      </c>
      <c r="F105" s="29" t="s">
        <v>27</v>
      </c>
      <c r="G105" s="22">
        <v>50</v>
      </c>
      <c r="H105" s="22">
        <v>0</v>
      </c>
      <c r="I105" s="22">
        <v>50</v>
      </c>
      <c r="J105" s="22">
        <v>0</v>
      </c>
      <c r="K105" s="53">
        <v>50</v>
      </c>
      <c r="L105" s="53">
        <v>0</v>
      </c>
      <c r="M105" s="22">
        <v>50</v>
      </c>
    </row>
    <row r="106" spans="1:13" ht="129" customHeight="1">
      <c r="A106" s="17"/>
      <c r="B106" s="13" t="s">
        <v>149</v>
      </c>
      <c r="C106" s="39" t="s">
        <v>29</v>
      </c>
      <c r="D106" s="39" t="s">
        <v>141</v>
      </c>
      <c r="E106" s="48" t="s">
        <v>106</v>
      </c>
      <c r="F106" s="49"/>
      <c r="G106" s="10">
        <f aca="true" t="shared" si="37" ref="G106:K107">G107</f>
        <v>50</v>
      </c>
      <c r="H106" s="10">
        <f t="shared" si="37"/>
        <v>0</v>
      </c>
      <c r="I106" s="10">
        <f t="shared" si="37"/>
        <v>50</v>
      </c>
      <c r="J106" s="10">
        <f t="shared" si="37"/>
        <v>0</v>
      </c>
      <c r="K106" s="52">
        <f t="shared" si="37"/>
        <v>50</v>
      </c>
      <c r="L106" s="52">
        <f>L107</f>
        <v>0</v>
      </c>
      <c r="M106" s="10">
        <f>M107</f>
        <v>50</v>
      </c>
    </row>
    <row r="107" spans="1:13" ht="39" customHeight="1">
      <c r="A107" s="17"/>
      <c r="B107" s="41" t="s">
        <v>150</v>
      </c>
      <c r="C107" s="29" t="s">
        <v>29</v>
      </c>
      <c r="D107" s="29" t="s">
        <v>141</v>
      </c>
      <c r="E107" s="92" t="s">
        <v>151</v>
      </c>
      <c r="F107" s="49"/>
      <c r="G107" s="22">
        <f t="shared" si="37"/>
        <v>50</v>
      </c>
      <c r="H107" s="22">
        <f t="shared" si="37"/>
        <v>0</v>
      </c>
      <c r="I107" s="22">
        <f t="shared" si="37"/>
        <v>50</v>
      </c>
      <c r="J107" s="22">
        <f t="shared" si="37"/>
        <v>0</v>
      </c>
      <c r="K107" s="53">
        <f t="shared" si="37"/>
        <v>50</v>
      </c>
      <c r="L107" s="53">
        <f>L108</f>
        <v>0</v>
      </c>
      <c r="M107" s="22">
        <f>M108</f>
        <v>50</v>
      </c>
    </row>
    <row r="108" spans="1:13" ht="69.75" customHeight="1">
      <c r="A108" s="17"/>
      <c r="B108" s="41" t="s">
        <v>50</v>
      </c>
      <c r="C108" s="29" t="s">
        <v>29</v>
      </c>
      <c r="D108" s="29" t="s">
        <v>141</v>
      </c>
      <c r="E108" s="92" t="s">
        <v>152</v>
      </c>
      <c r="F108" s="49" t="s">
        <v>27</v>
      </c>
      <c r="G108" s="22">
        <f>50</f>
        <v>50</v>
      </c>
      <c r="H108" s="22">
        <v>0</v>
      </c>
      <c r="I108" s="22">
        <f>50</f>
        <v>50</v>
      </c>
      <c r="J108" s="22">
        <v>0</v>
      </c>
      <c r="K108" s="53">
        <f>50</f>
        <v>50</v>
      </c>
      <c r="L108" s="53">
        <v>0</v>
      </c>
      <c r="M108" s="22">
        <f>50</f>
        <v>50</v>
      </c>
    </row>
    <row r="109" spans="1:13" ht="159.75" customHeight="1">
      <c r="A109" s="17"/>
      <c r="B109" s="13" t="s">
        <v>153</v>
      </c>
      <c r="C109" s="39" t="s">
        <v>29</v>
      </c>
      <c r="D109" s="39" t="s">
        <v>141</v>
      </c>
      <c r="E109" s="40" t="s">
        <v>84</v>
      </c>
      <c r="F109" s="39"/>
      <c r="G109" s="10">
        <f aca="true" t="shared" si="38" ref="G109:K110">G110</f>
        <v>60</v>
      </c>
      <c r="H109" s="10">
        <f t="shared" si="38"/>
        <v>0</v>
      </c>
      <c r="I109" s="10">
        <f t="shared" si="38"/>
        <v>60</v>
      </c>
      <c r="J109" s="10">
        <f t="shared" si="38"/>
        <v>0</v>
      </c>
      <c r="K109" s="52">
        <f t="shared" si="38"/>
        <v>60</v>
      </c>
      <c r="L109" s="52">
        <f>L110</f>
        <v>11</v>
      </c>
      <c r="M109" s="10">
        <f>M110</f>
        <v>71</v>
      </c>
    </row>
    <row r="110" spans="1:13" ht="34.5" customHeight="1">
      <c r="A110" s="17"/>
      <c r="B110" s="41" t="s">
        <v>154</v>
      </c>
      <c r="C110" s="29" t="s">
        <v>29</v>
      </c>
      <c r="D110" s="29" t="s">
        <v>141</v>
      </c>
      <c r="E110" s="30" t="s">
        <v>155</v>
      </c>
      <c r="F110" s="29"/>
      <c r="G110" s="22">
        <f t="shared" si="38"/>
        <v>60</v>
      </c>
      <c r="H110" s="22">
        <f t="shared" si="38"/>
        <v>0</v>
      </c>
      <c r="I110" s="22">
        <f t="shared" si="38"/>
        <v>60</v>
      </c>
      <c r="J110" s="22">
        <f t="shared" si="38"/>
        <v>0</v>
      </c>
      <c r="K110" s="53">
        <f t="shared" si="38"/>
        <v>60</v>
      </c>
      <c r="L110" s="53">
        <f>L111</f>
        <v>11</v>
      </c>
      <c r="M110" s="22">
        <f>M111</f>
        <v>71</v>
      </c>
    </row>
    <row r="111" spans="1:13" ht="67.5" customHeight="1">
      <c r="A111" s="17"/>
      <c r="B111" s="41" t="s">
        <v>50</v>
      </c>
      <c r="C111" s="29" t="s">
        <v>29</v>
      </c>
      <c r="D111" s="29" t="s">
        <v>141</v>
      </c>
      <c r="E111" s="30" t="s">
        <v>156</v>
      </c>
      <c r="F111" s="29" t="s">
        <v>27</v>
      </c>
      <c r="G111" s="22">
        <f>60</f>
        <v>60</v>
      </c>
      <c r="H111" s="22">
        <v>0</v>
      </c>
      <c r="I111" s="22">
        <f>60</f>
        <v>60</v>
      </c>
      <c r="J111" s="22">
        <v>0</v>
      </c>
      <c r="K111" s="53">
        <f>60</f>
        <v>60</v>
      </c>
      <c r="L111" s="53">
        <f>3.5+7.5</f>
        <v>11</v>
      </c>
      <c r="M111" s="22">
        <f>60+L111</f>
        <v>71</v>
      </c>
    </row>
    <row r="112" spans="1:13" ht="51.75" customHeight="1">
      <c r="A112" s="17"/>
      <c r="B112" s="85" t="s">
        <v>374</v>
      </c>
      <c r="C112" s="195" t="s">
        <v>29</v>
      </c>
      <c r="D112" s="195" t="s">
        <v>141</v>
      </c>
      <c r="E112" s="196" t="s">
        <v>156</v>
      </c>
      <c r="F112" s="195" t="s">
        <v>27</v>
      </c>
      <c r="G112" s="194"/>
      <c r="H112" s="194"/>
      <c r="I112" s="194"/>
      <c r="J112" s="194"/>
      <c r="K112" s="166"/>
      <c r="L112" s="194">
        <v>7.5</v>
      </c>
      <c r="M112" s="194">
        <v>7.5</v>
      </c>
    </row>
    <row r="113" spans="1:13" ht="70.5" customHeight="1">
      <c r="A113" s="17"/>
      <c r="B113" s="13" t="s">
        <v>157</v>
      </c>
      <c r="C113" s="39" t="s">
        <v>29</v>
      </c>
      <c r="D113" s="39" t="s">
        <v>141</v>
      </c>
      <c r="E113" s="40" t="s">
        <v>41</v>
      </c>
      <c r="F113" s="29"/>
      <c r="G113" s="10">
        <f aca="true" t="shared" si="39" ref="G113:K114">G114</f>
        <v>10</v>
      </c>
      <c r="H113" s="10">
        <f t="shared" si="39"/>
        <v>0</v>
      </c>
      <c r="I113" s="10">
        <f t="shared" si="39"/>
        <v>10</v>
      </c>
      <c r="J113" s="10">
        <f t="shared" si="39"/>
        <v>0</v>
      </c>
      <c r="K113" s="52">
        <f t="shared" si="39"/>
        <v>10</v>
      </c>
      <c r="L113" s="52">
        <f>L114</f>
        <v>-2</v>
      </c>
      <c r="M113" s="10">
        <f>M114</f>
        <v>8</v>
      </c>
    </row>
    <row r="114" spans="1:13" ht="51" customHeight="1">
      <c r="A114" s="17"/>
      <c r="B114" s="41" t="s">
        <v>158</v>
      </c>
      <c r="C114" s="29" t="s">
        <v>29</v>
      </c>
      <c r="D114" s="29" t="s">
        <v>141</v>
      </c>
      <c r="E114" s="30" t="s">
        <v>159</v>
      </c>
      <c r="F114" s="29"/>
      <c r="G114" s="22">
        <f t="shared" si="39"/>
        <v>10</v>
      </c>
      <c r="H114" s="22">
        <f t="shared" si="39"/>
        <v>0</v>
      </c>
      <c r="I114" s="22">
        <f t="shared" si="39"/>
        <v>10</v>
      </c>
      <c r="J114" s="22">
        <f t="shared" si="39"/>
        <v>0</v>
      </c>
      <c r="K114" s="53">
        <f t="shared" si="39"/>
        <v>10</v>
      </c>
      <c r="L114" s="53">
        <f>L115</f>
        <v>-2</v>
      </c>
      <c r="M114" s="22">
        <f>M115</f>
        <v>8</v>
      </c>
    </row>
    <row r="115" spans="1:13" ht="66" customHeight="1">
      <c r="A115" s="17"/>
      <c r="B115" s="207" t="s">
        <v>373</v>
      </c>
      <c r="C115" s="29" t="s">
        <v>29</v>
      </c>
      <c r="D115" s="29" t="s">
        <v>141</v>
      </c>
      <c r="E115" s="30" t="s">
        <v>160</v>
      </c>
      <c r="F115" s="29" t="s">
        <v>27</v>
      </c>
      <c r="G115" s="22">
        <f>10</f>
        <v>10</v>
      </c>
      <c r="H115" s="22">
        <v>0</v>
      </c>
      <c r="I115" s="22">
        <f>10</f>
        <v>10</v>
      </c>
      <c r="J115" s="22">
        <v>0</v>
      </c>
      <c r="K115" s="53">
        <f>10</f>
        <v>10</v>
      </c>
      <c r="L115" s="53">
        <v>-2</v>
      </c>
      <c r="M115" s="22">
        <f>10+L115</f>
        <v>8</v>
      </c>
    </row>
    <row r="116" spans="1:13" ht="121.5" customHeight="1">
      <c r="A116" s="17"/>
      <c r="B116" s="13" t="s">
        <v>56</v>
      </c>
      <c r="C116" s="39" t="s">
        <v>29</v>
      </c>
      <c r="D116" s="39" t="s">
        <v>141</v>
      </c>
      <c r="E116" s="40" t="s">
        <v>15</v>
      </c>
      <c r="F116" s="29"/>
      <c r="G116" s="10">
        <f aca="true" t="shared" si="40" ref="G116:K117">G117</f>
        <v>1261</v>
      </c>
      <c r="H116" s="10">
        <f t="shared" si="40"/>
        <v>0</v>
      </c>
      <c r="I116" s="10">
        <f t="shared" si="40"/>
        <v>1261</v>
      </c>
      <c r="J116" s="10">
        <f t="shared" si="40"/>
        <v>0</v>
      </c>
      <c r="K116" s="52">
        <f t="shared" si="40"/>
        <v>1261</v>
      </c>
      <c r="L116" s="52">
        <f>L117</f>
        <v>107</v>
      </c>
      <c r="M116" s="10">
        <f>M117</f>
        <v>1368</v>
      </c>
    </row>
    <row r="117" spans="1:13" ht="41.25" customHeight="1">
      <c r="A117" s="17"/>
      <c r="B117" s="32" t="s">
        <v>161</v>
      </c>
      <c r="C117" s="29" t="s">
        <v>29</v>
      </c>
      <c r="D117" s="29" t="s">
        <v>141</v>
      </c>
      <c r="E117" s="30" t="s">
        <v>58</v>
      </c>
      <c r="F117" s="29"/>
      <c r="G117" s="22">
        <f t="shared" si="40"/>
        <v>1261</v>
      </c>
      <c r="H117" s="22">
        <f t="shared" si="40"/>
        <v>0</v>
      </c>
      <c r="I117" s="22">
        <f t="shared" si="40"/>
        <v>1261</v>
      </c>
      <c r="J117" s="22">
        <f t="shared" si="40"/>
        <v>0</v>
      </c>
      <c r="K117" s="53">
        <f t="shared" si="40"/>
        <v>1261</v>
      </c>
      <c r="L117" s="53">
        <f>L118</f>
        <v>107</v>
      </c>
      <c r="M117" s="22">
        <f>M118</f>
        <v>1368</v>
      </c>
    </row>
    <row r="118" spans="1:13" ht="179.25" customHeight="1">
      <c r="A118" s="17"/>
      <c r="B118" s="25" t="s">
        <v>59</v>
      </c>
      <c r="C118" s="36" t="s">
        <v>29</v>
      </c>
      <c r="D118" s="36" t="s">
        <v>141</v>
      </c>
      <c r="E118" s="37" t="s">
        <v>60</v>
      </c>
      <c r="F118" s="36" t="s">
        <v>22</v>
      </c>
      <c r="G118" s="22">
        <v>1261</v>
      </c>
      <c r="H118" s="22">
        <v>0</v>
      </c>
      <c r="I118" s="22">
        <v>1261</v>
      </c>
      <c r="J118" s="22">
        <v>0</v>
      </c>
      <c r="K118" s="53">
        <v>1261</v>
      </c>
      <c r="L118" s="53">
        <f>27+8+37+11+18.5+5.5</f>
        <v>107</v>
      </c>
      <c r="M118" s="22">
        <f>K118+L118</f>
        <v>1368</v>
      </c>
    </row>
    <row r="119" spans="1:13" ht="47.25" customHeight="1" hidden="1">
      <c r="A119" s="17"/>
      <c r="B119" s="13" t="s">
        <v>162</v>
      </c>
      <c r="C119" s="93" t="s">
        <v>29</v>
      </c>
      <c r="D119" s="94" t="s">
        <v>141</v>
      </c>
      <c r="E119" s="95" t="s">
        <v>163</v>
      </c>
      <c r="F119" s="94"/>
      <c r="G119" s="10">
        <f aca="true" t="shared" si="41" ref="G119:K121">G120</f>
        <v>0</v>
      </c>
      <c r="H119" s="10">
        <f t="shared" si="41"/>
        <v>0</v>
      </c>
      <c r="I119" s="10">
        <f t="shared" si="41"/>
        <v>0</v>
      </c>
      <c r="J119" s="10">
        <f t="shared" si="41"/>
        <v>0</v>
      </c>
      <c r="K119" s="52">
        <f t="shared" si="41"/>
        <v>0</v>
      </c>
      <c r="L119" s="52">
        <f aca="true" t="shared" si="42" ref="L119:M121">L120</f>
        <v>0</v>
      </c>
      <c r="M119" s="52">
        <f t="shared" si="42"/>
        <v>0</v>
      </c>
    </row>
    <row r="120" spans="1:13" ht="47.25" customHeight="1" hidden="1">
      <c r="A120" s="17"/>
      <c r="B120" s="42" t="s">
        <v>164</v>
      </c>
      <c r="C120" s="65" t="s">
        <v>29</v>
      </c>
      <c r="D120" s="65" t="s">
        <v>141</v>
      </c>
      <c r="E120" s="64" t="s">
        <v>165</v>
      </c>
      <c r="F120" s="65"/>
      <c r="G120" s="22">
        <f t="shared" si="41"/>
        <v>0</v>
      </c>
      <c r="H120" s="22">
        <f t="shared" si="41"/>
        <v>0</v>
      </c>
      <c r="I120" s="22">
        <f t="shared" si="41"/>
        <v>0</v>
      </c>
      <c r="J120" s="22">
        <f t="shared" si="41"/>
        <v>0</v>
      </c>
      <c r="K120" s="53">
        <f t="shared" si="41"/>
        <v>0</v>
      </c>
      <c r="L120" s="53">
        <f t="shared" si="42"/>
        <v>0</v>
      </c>
      <c r="M120" s="53">
        <f t="shared" si="42"/>
        <v>0</v>
      </c>
    </row>
    <row r="121" spans="1:13" ht="47.25" customHeight="1" hidden="1">
      <c r="A121" s="17"/>
      <c r="B121" s="32" t="s">
        <v>166</v>
      </c>
      <c r="C121" s="65" t="s">
        <v>29</v>
      </c>
      <c r="D121" s="65" t="s">
        <v>141</v>
      </c>
      <c r="E121" s="64" t="s">
        <v>167</v>
      </c>
      <c r="F121" s="65"/>
      <c r="G121" s="22">
        <f t="shared" si="41"/>
        <v>0</v>
      </c>
      <c r="H121" s="22">
        <f t="shared" si="41"/>
        <v>0</v>
      </c>
      <c r="I121" s="22">
        <f t="shared" si="41"/>
        <v>0</v>
      </c>
      <c r="J121" s="22">
        <f t="shared" si="41"/>
        <v>0</v>
      </c>
      <c r="K121" s="53">
        <f t="shared" si="41"/>
        <v>0</v>
      </c>
      <c r="L121" s="53">
        <f t="shared" si="42"/>
        <v>0</v>
      </c>
      <c r="M121" s="53">
        <f t="shared" si="42"/>
        <v>0</v>
      </c>
    </row>
    <row r="122" spans="1:13" ht="63" customHeight="1" hidden="1">
      <c r="A122" s="17"/>
      <c r="B122" s="32" t="s">
        <v>168</v>
      </c>
      <c r="C122" s="65" t="s">
        <v>29</v>
      </c>
      <c r="D122" s="65" t="s">
        <v>141</v>
      </c>
      <c r="E122" s="91" t="s">
        <v>169</v>
      </c>
      <c r="F122" s="65" t="s">
        <v>27</v>
      </c>
      <c r="G122" s="22">
        <v>0</v>
      </c>
      <c r="H122" s="22">
        <v>0</v>
      </c>
      <c r="I122" s="22">
        <v>0</v>
      </c>
      <c r="J122" s="22">
        <v>0</v>
      </c>
      <c r="K122" s="53">
        <v>0</v>
      </c>
      <c r="L122" s="53">
        <v>0</v>
      </c>
      <c r="M122" s="53">
        <v>0</v>
      </c>
    </row>
    <row r="123" spans="1:13" ht="116.25" customHeight="1" hidden="1">
      <c r="A123" s="17"/>
      <c r="B123" s="96" t="s">
        <v>113</v>
      </c>
      <c r="C123" s="90" t="s">
        <v>29</v>
      </c>
      <c r="D123" s="90" t="s">
        <v>141</v>
      </c>
      <c r="E123" s="97" t="s">
        <v>169</v>
      </c>
      <c r="F123" s="90" t="s">
        <v>27</v>
      </c>
      <c r="G123" s="98">
        <v>0</v>
      </c>
      <c r="H123" s="98">
        <v>0</v>
      </c>
      <c r="I123" s="98">
        <v>0</v>
      </c>
      <c r="J123" s="98">
        <v>0</v>
      </c>
      <c r="K123" s="155">
        <v>0</v>
      </c>
      <c r="L123" s="155">
        <v>0</v>
      </c>
      <c r="M123" s="155">
        <v>0</v>
      </c>
    </row>
    <row r="124" spans="1:13" ht="69" customHeight="1">
      <c r="A124" s="17"/>
      <c r="B124" s="7" t="s">
        <v>162</v>
      </c>
      <c r="C124" s="99" t="s">
        <v>29</v>
      </c>
      <c r="D124" s="100" t="s">
        <v>141</v>
      </c>
      <c r="E124" s="101" t="s">
        <v>163</v>
      </c>
      <c r="F124" s="100"/>
      <c r="G124" s="98"/>
      <c r="H124" s="98">
        <f aca="true" t="shared" si="43" ref="H124:K126">H125</f>
        <v>100.03</v>
      </c>
      <c r="I124" s="98">
        <f t="shared" si="43"/>
        <v>100.03</v>
      </c>
      <c r="J124" s="98">
        <f t="shared" si="43"/>
        <v>400.1</v>
      </c>
      <c r="K124" s="155">
        <f t="shared" si="43"/>
        <v>500.13</v>
      </c>
      <c r="L124" s="155">
        <f aca="true" t="shared" si="44" ref="L124:M126">L125</f>
        <v>0</v>
      </c>
      <c r="M124" s="98">
        <f t="shared" si="44"/>
        <v>500.13</v>
      </c>
    </row>
    <row r="125" spans="1:13" ht="69" customHeight="1">
      <c r="A125" s="17"/>
      <c r="B125" s="102" t="s">
        <v>164</v>
      </c>
      <c r="C125" s="103" t="s">
        <v>29</v>
      </c>
      <c r="D125" s="103" t="s">
        <v>141</v>
      </c>
      <c r="E125" s="104" t="s">
        <v>165</v>
      </c>
      <c r="F125" s="103"/>
      <c r="G125" s="98"/>
      <c r="H125" s="98">
        <f t="shared" si="43"/>
        <v>100.03</v>
      </c>
      <c r="I125" s="98">
        <f t="shared" si="43"/>
        <v>100.03</v>
      </c>
      <c r="J125" s="98">
        <f t="shared" si="43"/>
        <v>400.1</v>
      </c>
      <c r="K125" s="155">
        <f t="shared" si="43"/>
        <v>500.13</v>
      </c>
      <c r="L125" s="155">
        <f t="shared" si="44"/>
        <v>0</v>
      </c>
      <c r="M125" s="98">
        <f t="shared" si="44"/>
        <v>500.13</v>
      </c>
    </row>
    <row r="126" spans="1:13" ht="71.25" customHeight="1">
      <c r="A126" s="17"/>
      <c r="B126" s="105" t="s">
        <v>166</v>
      </c>
      <c r="C126" s="103" t="s">
        <v>29</v>
      </c>
      <c r="D126" s="103" t="s">
        <v>141</v>
      </c>
      <c r="E126" s="104" t="s">
        <v>167</v>
      </c>
      <c r="F126" s="103"/>
      <c r="G126" s="98"/>
      <c r="H126" s="98">
        <f t="shared" si="43"/>
        <v>100.03</v>
      </c>
      <c r="I126" s="98">
        <f t="shared" si="43"/>
        <v>100.03</v>
      </c>
      <c r="J126" s="98">
        <f t="shared" si="43"/>
        <v>400.1</v>
      </c>
      <c r="K126" s="155">
        <f t="shared" si="43"/>
        <v>500.13</v>
      </c>
      <c r="L126" s="155">
        <f t="shared" si="44"/>
        <v>0</v>
      </c>
      <c r="M126" s="98">
        <f t="shared" si="44"/>
        <v>500.13</v>
      </c>
    </row>
    <row r="127" spans="1:13" ht="97.5" customHeight="1">
      <c r="A127" s="17"/>
      <c r="B127" s="106" t="s">
        <v>168</v>
      </c>
      <c r="C127" s="103" t="s">
        <v>29</v>
      </c>
      <c r="D127" s="103" t="s">
        <v>141</v>
      </c>
      <c r="E127" s="104" t="s">
        <v>169</v>
      </c>
      <c r="F127" s="103" t="s">
        <v>27</v>
      </c>
      <c r="G127" s="98">
        <v>0</v>
      </c>
      <c r="H127" s="98">
        <v>100.03</v>
      </c>
      <c r="I127" s="98">
        <f>+H127</f>
        <v>100.03</v>
      </c>
      <c r="J127" s="98">
        <v>400.1</v>
      </c>
      <c r="K127" s="155">
        <f>I127+J127</f>
        <v>500.13</v>
      </c>
      <c r="L127" s="155">
        <v>0</v>
      </c>
      <c r="M127" s="98">
        <f>K127+L127</f>
        <v>500.13</v>
      </c>
    </row>
    <row r="128" spans="1:13" ht="31.5" customHeight="1">
      <c r="A128" s="17"/>
      <c r="B128" s="107" t="s">
        <v>113</v>
      </c>
      <c r="C128" s="108" t="s">
        <v>29</v>
      </c>
      <c r="D128" s="109" t="s">
        <v>141</v>
      </c>
      <c r="E128" s="110" t="s">
        <v>169</v>
      </c>
      <c r="F128" s="103" t="s">
        <v>27</v>
      </c>
      <c r="G128" s="98">
        <v>0</v>
      </c>
      <c r="H128" s="98">
        <v>100.03</v>
      </c>
      <c r="I128" s="98">
        <v>100.03</v>
      </c>
      <c r="J128" s="98">
        <v>0</v>
      </c>
      <c r="K128" s="155">
        <v>100.03</v>
      </c>
      <c r="L128" s="155">
        <v>0</v>
      </c>
      <c r="M128" s="98">
        <v>100.03</v>
      </c>
    </row>
    <row r="129" spans="1:13" ht="15.75">
      <c r="A129" s="17"/>
      <c r="B129" s="13" t="s">
        <v>170</v>
      </c>
      <c r="C129" s="39" t="s">
        <v>171</v>
      </c>
      <c r="D129" s="39"/>
      <c r="E129" s="30"/>
      <c r="F129" s="29"/>
      <c r="G129" s="10">
        <f aca="true" t="shared" si="45" ref="G129:M129">G130+G167+G191+G237</f>
        <v>111781.3</v>
      </c>
      <c r="H129" s="11">
        <f t="shared" si="45"/>
        <v>140536.6416</v>
      </c>
      <c r="I129" s="52">
        <f t="shared" si="45"/>
        <v>252317.94160000002</v>
      </c>
      <c r="J129" s="11">
        <f t="shared" si="45"/>
        <v>132715.90000000002</v>
      </c>
      <c r="K129" s="52">
        <f t="shared" si="45"/>
        <v>385033.84160000004</v>
      </c>
      <c r="L129" s="52">
        <f t="shared" si="45"/>
        <v>16730.217289999997</v>
      </c>
      <c r="M129" s="52">
        <f t="shared" si="45"/>
        <v>403622.25889000006</v>
      </c>
    </row>
    <row r="130" spans="1:13" ht="19.5" customHeight="1">
      <c r="A130" s="17"/>
      <c r="B130" s="13" t="s">
        <v>172</v>
      </c>
      <c r="C130" s="39" t="s">
        <v>171</v>
      </c>
      <c r="D130" s="39" t="s">
        <v>13</v>
      </c>
      <c r="E130" s="40"/>
      <c r="F130" s="39"/>
      <c r="G130" s="10">
        <f>G138+G164</f>
        <v>92389</v>
      </c>
      <c r="H130" s="11">
        <f>H138+H164</f>
        <v>133161.0816</v>
      </c>
      <c r="I130" s="52">
        <f>I138+I164+I131</f>
        <v>225550.0816</v>
      </c>
      <c r="J130" s="11">
        <f>J138+J164+J131</f>
        <v>7373.832</v>
      </c>
      <c r="K130" s="52">
        <f>K138+K164+K131</f>
        <v>232923.91360000003</v>
      </c>
      <c r="L130" s="52">
        <f>L138+L164+L131</f>
        <v>27590.08512</v>
      </c>
      <c r="M130" s="52">
        <f>M138+M164+M131</f>
        <v>260513.99872000003</v>
      </c>
    </row>
    <row r="131" spans="1:13" ht="105" customHeight="1">
      <c r="A131" s="17"/>
      <c r="B131" s="13" t="s">
        <v>69</v>
      </c>
      <c r="C131" s="111" t="s">
        <v>171</v>
      </c>
      <c r="D131" s="111" t="s">
        <v>13</v>
      </c>
      <c r="E131" s="112" t="s">
        <v>24</v>
      </c>
      <c r="F131" s="39"/>
      <c r="G131" s="10"/>
      <c r="H131" s="11"/>
      <c r="I131" s="52">
        <f>I134</f>
        <v>0</v>
      </c>
      <c r="J131" s="11">
        <f>J134</f>
        <v>282.032</v>
      </c>
      <c r="K131" s="52">
        <f>I131+J131</f>
        <v>282.032</v>
      </c>
      <c r="L131" s="52">
        <f>L134+L132</f>
        <v>1.56617</v>
      </c>
      <c r="M131" s="52">
        <f>K131+L131</f>
        <v>283.59817</v>
      </c>
    </row>
    <row r="132" spans="1:13" ht="35.25" customHeight="1">
      <c r="A132" s="17"/>
      <c r="B132" s="161" t="s">
        <v>70</v>
      </c>
      <c r="C132" s="43" t="s">
        <v>171</v>
      </c>
      <c r="D132" s="43" t="s">
        <v>13</v>
      </c>
      <c r="E132" s="114" t="s">
        <v>71</v>
      </c>
      <c r="F132" s="39"/>
      <c r="G132" s="10"/>
      <c r="H132" s="11"/>
      <c r="I132" s="52"/>
      <c r="J132" s="11"/>
      <c r="K132" s="53">
        <f>K133</f>
        <v>0</v>
      </c>
      <c r="L132" s="53">
        <f>L133</f>
        <v>1.56617</v>
      </c>
      <c r="M132" s="53">
        <f>M133</f>
        <v>1.56617</v>
      </c>
    </row>
    <row r="133" spans="1:13" ht="39.75" customHeight="1">
      <c r="A133" s="17"/>
      <c r="B133" s="161" t="s">
        <v>349</v>
      </c>
      <c r="C133" s="43" t="s">
        <v>171</v>
      </c>
      <c r="D133" s="43" t="s">
        <v>13</v>
      </c>
      <c r="E133" s="114" t="s">
        <v>348</v>
      </c>
      <c r="F133" s="29" t="s">
        <v>39</v>
      </c>
      <c r="G133" s="10"/>
      <c r="H133" s="11"/>
      <c r="I133" s="52"/>
      <c r="J133" s="11"/>
      <c r="K133" s="53">
        <v>0</v>
      </c>
      <c r="L133" s="53">
        <v>1.56617</v>
      </c>
      <c r="M133" s="53">
        <f>K133+L133</f>
        <v>1.56617</v>
      </c>
    </row>
    <row r="134" spans="1:13" ht="37.5" customHeight="1">
      <c r="A134" s="17"/>
      <c r="B134" s="113" t="s">
        <v>173</v>
      </c>
      <c r="C134" s="43" t="s">
        <v>171</v>
      </c>
      <c r="D134" s="43" t="s">
        <v>13</v>
      </c>
      <c r="E134" s="114" t="s">
        <v>174</v>
      </c>
      <c r="F134" s="39"/>
      <c r="G134" s="10"/>
      <c r="H134" s="11"/>
      <c r="I134" s="53">
        <v>0</v>
      </c>
      <c r="J134" s="11">
        <f>J136</f>
        <v>282.032</v>
      </c>
      <c r="K134" s="52">
        <f>I134+J134</f>
        <v>282.032</v>
      </c>
      <c r="L134" s="52">
        <f>L136</f>
        <v>0</v>
      </c>
      <c r="M134" s="67">
        <f>K134+L134</f>
        <v>282.032</v>
      </c>
    </row>
    <row r="135" spans="1:13" ht="31.5" customHeight="1" hidden="1">
      <c r="A135" s="17"/>
      <c r="B135" s="113"/>
      <c r="C135" s="43"/>
      <c r="D135" s="43"/>
      <c r="E135" s="114"/>
      <c r="F135" s="39"/>
      <c r="G135" s="10"/>
      <c r="H135" s="11"/>
      <c r="I135" s="53"/>
      <c r="J135" s="11"/>
      <c r="K135" s="52"/>
      <c r="L135" s="52"/>
      <c r="M135" s="67"/>
    </row>
    <row r="136" spans="1:13" ht="73.5" customHeight="1">
      <c r="A136" s="17"/>
      <c r="B136" s="113" t="s">
        <v>175</v>
      </c>
      <c r="C136" s="43" t="s">
        <v>171</v>
      </c>
      <c r="D136" s="43" t="s">
        <v>13</v>
      </c>
      <c r="E136" s="114" t="s">
        <v>176</v>
      </c>
      <c r="F136" s="29" t="s">
        <v>27</v>
      </c>
      <c r="G136" s="10"/>
      <c r="H136" s="11"/>
      <c r="I136" s="53">
        <v>0</v>
      </c>
      <c r="J136" s="115">
        <v>282.032</v>
      </c>
      <c r="K136" s="53">
        <f>I136+J136</f>
        <v>282.032</v>
      </c>
      <c r="L136" s="53">
        <v>0</v>
      </c>
      <c r="M136" s="73">
        <f>K136+L136</f>
        <v>282.032</v>
      </c>
    </row>
    <row r="137" spans="1:13" ht="19.5" customHeight="1" hidden="1">
      <c r="A137" s="17"/>
      <c r="B137" s="13"/>
      <c r="C137" s="39"/>
      <c r="D137" s="39"/>
      <c r="E137" s="40"/>
      <c r="F137" s="39"/>
      <c r="G137" s="10"/>
      <c r="H137" s="11"/>
      <c r="I137" s="52"/>
      <c r="J137" s="11"/>
      <c r="K137" s="52"/>
      <c r="L137" s="52"/>
      <c r="M137" s="52"/>
    </row>
    <row r="138" spans="1:13" ht="98.25" customHeight="1">
      <c r="A138" s="17"/>
      <c r="B138" s="13" t="s">
        <v>177</v>
      </c>
      <c r="C138" s="94" t="s">
        <v>171</v>
      </c>
      <c r="D138" s="94" t="s">
        <v>13</v>
      </c>
      <c r="E138" s="95" t="s">
        <v>141</v>
      </c>
      <c r="F138" s="29"/>
      <c r="G138" s="10">
        <f aca="true" t="shared" si="46" ref="G138:M138">G139+G151</f>
        <v>91529</v>
      </c>
      <c r="H138" s="11">
        <f t="shared" si="46"/>
        <v>133161.0816</v>
      </c>
      <c r="I138" s="52">
        <f t="shared" si="46"/>
        <v>224690.0816</v>
      </c>
      <c r="J138" s="11">
        <f t="shared" si="46"/>
        <v>7091.8</v>
      </c>
      <c r="K138" s="52">
        <f t="shared" si="46"/>
        <v>231781.88160000002</v>
      </c>
      <c r="L138" s="52">
        <f t="shared" si="46"/>
        <v>27588.51895</v>
      </c>
      <c r="M138" s="52">
        <f t="shared" si="46"/>
        <v>259370.40055000002</v>
      </c>
    </row>
    <row r="139" spans="1:13" ht="69.75" customHeight="1">
      <c r="A139" s="17"/>
      <c r="B139" s="13" t="s">
        <v>178</v>
      </c>
      <c r="C139" s="65" t="s">
        <v>171</v>
      </c>
      <c r="D139" s="65" t="s">
        <v>13</v>
      </c>
      <c r="E139" s="64" t="s">
        <v>179</v>
      </c>
      <c r="F139" s="65"/>
      <c r="G139" s="22">
        <f aca="true" t="shared" si="47" ref="G139:M139">G147</f>
        <v>200</v>
      </c>
      <c r="H139" s="53">
        <f t="shared" si="47"/>
        <v>0</v>
      </c>
      <c r="I139" s="116">
        <f t="shared" si="47"/>
        <v>200</v>
      </c>
      <c r="J139" s="53">
        <f t="shared" si="47"/>
        <v>3780.2000000000003</v>
      </c>
      <c r="K139" s="53">
        <f t="shared" si="47"/>
        <v>3980.2000000000003</v>
      </c>
      <c r="L139" s="53">
        <f t="shared" si="47"/>
        <v>1791.61895</v>
      </c>
      <c r="M139" s="53">
        <f t="shared" si="47"/>
        <v>5771.818950000001</v>
      </c>
    </row>
    <row r="140" spans="1:13" ht="116.25" customHeight="1" hidden="1">
      <c r="A140" s="17"/>
      <c r="B140" s="117" t="s">
        <v>180</v>
      </c>
      <c r="C140" s="65" t="s">
        <v>171</v>
      </c>
      <c r="D140" s="65" t="s">
        <v>13</v>
      </c>
      <c r="E140" s="64" t="s">
        <v>181</v>
      </c>
      <c r="F140" s="65"/>
      <c r="G140" s="22">
        <f aca="true" t="shared" si="48" ref="G140:M140">G141+G144+G146</f>
        <v>0</v>
      </c>
      <c r="H140" s="53">
        <f t="shared" si="48"/>
        <v>0</v>
      </c>
      <c r="I140" s="116">
        <f t="shared" si="48"/>
        <v>0</v>
      </c>
      <c r="J140" s="53">
        <f t="shared" si="48"/>
        <v>0</v>
      </c>
      <c r="K140" s="53">
        <f t="shared" si="48"/>
        <v>0</v>
      </c>
      <c r="L140" s="53">
        <f t="shared" si="48"/>
        <v>0</v>
      </c>
      <c r="M140" s="53">
        <f t="shared" si="48"/>
        <v>0</v>
      </c>
    </row>
    <row r="141" spans="1:13" ht="116.25" customHeight="1" hidden="1">
      <c r="A141" s="17"/>
      <c r="B141" s="41" t="s">
        <v>182</v>
      </c>
      <c r="C141" s="65" t="s">
        <v>171</v>
      </c>
      <c r="D141" s="65" t="s">
        <v>13</v>
      </c>
      <c r="E141" s="64" t="s">
        <v>183</v>
      </c>
      <c r="F141" s="65" t="s">
        <v>184</v>
      </c>
      <c r="G141" s="22">
        <v>0</v>
      </c>
      <c r="H141" s="53">
        <v>0</v>
      </c>
      <c r="I141" s="116">
        <v>0</v>
      </c>
      <c r="J141" s="53">
        <v>0</v>
      </c>
      <c r="K141" s="53">
        <v>0</v>
      </c>
      <c r="L141" s="53">
        <v>0</v>
      </c>
      <c r="M141" s="53">
        <v>0</v>
      </c>
    </row>
    <row r="142" spans="1:13" ht="15.75" customHeight="1" hidden="1">
      <c r="A142" s="17"/>
      <c r="B142" s="118" t="s">
        <v>185</v>
      </c>
      <c r="C142" s="65" t="s">
        <v>171</v>
      </c>
      <c r="D142" s="65" t="s">
        <v>13</v>
      </c>
      <c r="E142" s="64" t="s">
        <v>183</v>
      </c>
      <c r="F142" s="65" t="s">
        <v>184</v>
      </c>
      <c r="G142" s="22">
        <v>0</v>
      </c>
      <c r="H142" s="53">
        <v>0</v>
      </c>
      <c r="I142" s="116">
        <v>0</v>
      </c>
      <c r="J142" s="53">
        <v>0</v>
      </c>
      <c r="K142" s="53">
        <v>0</v>
      </c>
      <c r="L142" s="53">
        <v>0</v>
      </c>
      <c r="M142" s="53">
        <v>0</v>
      </c>
    </row>
    <row r="143" spans="1:13" ht="116.25" customHeight="1" hidden="1">
      <c r="A143" s="17"/>
      <c r="B143" s="41" t="s">
        <v>186</v>
      </c>
      <c r="C143" s="65" t="s">
        <v>171</v>
      </c>
      <c r="D143" s="65" t="s">
        <v>13</v>
      </c>
      <c r="E143" s="64" t="s">
        <v>187</v>
      </c>
      <c r="F143" s="65" t="s">
        <v>184</v>
      </c>
      <c r="G143" s="22">
        <v>0</v>
      </c>
      <c r="H143" s="53">
        <v>0</v>
      </c>
      <c r="I143" s="116">
        <v>0</v>
      </c>
      <c r="J143" s="53">
        <v>0</v>
      </c>
      <c r="K143" s="53">
        <v>0</v>
      </c>
      <c r="L143" s="53">
        <v>0</v>
      </c>
      <c r="M143" s="53">
        <v>0</v>
      </c>
    </row>
    <row r="144" spans="1:13" ht="15.75" customHeight="1" hidden="1">
      <c r="A144" s="17"/>
      <c r="B144" s="118" t="s">
        <v>188</v>
      </c>
      <c r="C144" s="65" t="s">
        <v>171</v>
      </c>
      <c r="D144" s="65" t="s">
        <v>13</v>
      </c>
      <c r="E144" s="64" t="s">
        <v>187</v>
      </c>
      <c r="F144" s="65" t="s">
        <v>184</v>
      </c>
      <c r="G144" s="22">
        <v>0</v>
      </c>
      <c r="H144" s="53">
        <v>0</v>
      </c>
      <c r="I144" s="116">
        <v>0</v>
      </c>
      <c r="J144" s="53">
        <v>0</v>
      </c>
      <c r="K144" s="53">
        <v>0</v>
      </c>
      <c r="L144" s="53">
        <v>0</v>
      </c>
      <c r="M144" s="53">
        <v>0</v>
      </c>
    </row>
    <row r="145" spans="1:13" ht="116.25" customHeight="1" hidden="1">
      <c r="A145" s="17"/>
      <c r="B145" s="41" t="s">
        <v>189</v>
      </c>
      <c r="C145" s="65" t="s">
        <v>171</v>
      </c>
      <c r="D145" s="65" t="s">
        <v>13</v>
      </c>
      <c r="E145" s="64" t="s">
        <v>190</v>
      </c>
      <c r="F145" s="65" t="s">
        <v>184</v>
      </c>
      <c r="G145" s="22">
        <v>0</v>
      </c>
      <c r="H145" s="53">
        <v>0</v>
      </c>
      <c r="I145" s="116">
        <v>0</v>
      </c>
      <c r="J145" s="53">
        <v>0</v>
      </c>
      <c r="K145" s="53">
        <v>0</v>
      </c>
      <c r="L145" s="53">
        <v>0</v>
      </c>
      <c r="M145" s="53">
        <v>0</v>
      </c>
    </row>
    <row r="146" spans="1:13" ht="15.75" customHeight="1" hidden="1">
      <c r="A146" s="17"/>
      <c r="B146" s="118" t="s">
        <v>113</v>
      </c>
      <c r="C146" s="65" t="s">
        <v>171</v>
      </c>
      <c r="D146" s="65" t="s">
        <v>13</v>
      </c>
      <c r="E146" s="64" t="s">
        <v>190</v>
      </c>
      <c r="F146" s="65" t="s">
        <v>184</v>
      </c>
      <c r="G146" s="22">
        <v>0</v>
      </c>
      <c r="H146" s="53">
        <v>0</v>
      </c>
      <c r="I146" s="116">
        <v>0</v>
      </c>
      <c r="J146" s="53">
        <v>0</v>
      </c>
      <c r="K146" s="53">
        <v>0</v>
      </c>
      <c r="L146" s="53">
        <v>0</v>
      </c>
      <c r="M146" s="53">
        <v>0</v>
      </c>
    </row>
    <row r="147" spans="1:13" ht="72.75" customHeight="1">
      <c r="A147" s="17"/>
      <c r="B147" s="119" t="s">
        <v>357</v>
      </c>
      <c r="C147" s="65" t="s">
        <v>171</v>
      </c>
      <c r="D147" s="65" t="s">
        <v>13</v>
      </c>
      <c r="E147" s="64" t="s">
        <v>191</v>
      </c>
      <c r="F147" s="65"/>
      <c r="G147" s="22">
        <f>G148</f>
        <v>200</v>
      </c>
      <c r="H147" s="53">
        <f>H148</f>
        <v>0</v>
      </c>
      <c r="I147" s="116">
        <f>I148</f>
        <v>200</v>
      </c>
      <c r="J147" s="53">
        <f>J148+J150</f>
        <v>3780.2000000000003</v>
      </c>
      <c r="K147" s="53">
        <f>K148+K150</f>
        <v>3980.2000000000003</v>
      </c>
      <c r="L147" s="53">
        <f>L148+L150+L149</f>
        <v>1791.61895</v>
      </c>
      <c r="M147" s="53">
        <f>M148+M150+M149</f>
        <v>5771.818950000001</v>
      </c>
    </row>
    <row r="148" spans="1:13" ht="123" customHeight="1">
      <c r="A148" s="17"/>
      <c r="B148" s="119" t="s">
        <v>192</v>
      </c>
      <c r="C148" s="65" t="s">
        <v>171</v>
      </c>
      <c r="D148" s="65" t="s">
        <v>13</v>
      </c>
      <c r="E148" s="64" t="s">
        <v>193</v>
      </c>
      <c r="F148" s="65" t="s">
        <v>27</v>
      </c>
      <c r="G148" s="22">
        <v>200</v>
      </c>
      <c r="H148" s="53">
        <v>0</v>
      </c>
      <c r="I148" s="116">
        <v>200</v>
      </c>
      <c r="J148" s="53">
        <v>0</v>
      </c>
      <c r="K148" s="53">
        <v>200</v>
      </c>
      <c r="L148" s="53">
        <f>-25+25</f>
        <v>0</v>
      </c>
      <c r="M148" s="22">
        <f>200+L148</f>
        <v>200</v>
      </c>
    </row>
    <row r="149" spans="1:13" ht="102.75" customHeight="1">
      <c r="A149" s="17"/>
      <c r="B149" s="119" t="s">
        <v>358</v>
      </c>
      <c r="C149" s="65" t="s">
        <v>171</v>
      </c>
      <c r="D149" s="65" t="s">
        <v>13</v>
      </c>
      <c r="E149" s="64" t="s">
        <v>193</v>
      </c>
      <c r="F149" s="65" t="s">
        <v>39</v>
      </c>
      <c r="G149" s="22">
        <v>0</v>
      </c>
      <c r="H149" s="53">
        <v>0</v>
      </c>
      <c r="I149" s="116">
        <v>0</v>
      </c>
      <c r="J149" s="53">
        <v>0</v>
      </c>
      <c r="K149" s="53">
        <v>0</v>
      </c>
      <c r="L149" s="53">
        <v>43.25252</v>
      </c>
      <c r="M149" s="53">
        <f>K149+L149</f>
        <v>43.25252</v>
      </c>
    </row>
    <row r="150" spans="1:13" ht="123" customHeight="1">
      <c r="A150" s="17"/>
      <c r="B150" s="119" t="s">
        <v>194</v>
      </c>
      <c r="C150" s="65" t="s">
        <v>171</v>
      </c>
      <c r="D150" s="65" t="s">
        <v>13</v>
      </c>
      <c r="E150" s="64" t="s">
        <v>193</v>
      </c>
      <c r="F150" s="65" t="s">
        <v>184</v>
      </c>
      <c r="G150" s="22">
        <v>0</v>
      </c>
      <c r="H150" s="53">
        <v>0</v>
      </c>
      <c r="I150" s="116">
        <v>0</v>
      </c>
      <c r="J150" s="53">
        <f>926.1+1801.8+800+252.3</f>
        <v>3780.2000000000003</v>
      </c>
      <c r="K150" s="53">
        <f>I150+J150</f>
        <v>3780.2000000000003</v>
      </c>
      <c r="L150" s="53">
        <f>5518.8-2000-43.25252-462-551.75619-500-15.72-0.70486-129-68</f>
        <v>1748.36643</v>
      </c>
      <c r="M150" s="53">
        <f>K150+L150</f>
        <v>5528.566430000001</v>
      </c>
    </row>
    <row r="151" spans="1:13" ht="101.25" customHeight="1">
      <c r="A151" s="17"/>
      <c r="B151" s="160" t="s">
        <v>359</v>
      </c>
      <c r="C151" s="65" t="s">
        <v>171</v>
      </c>
      <c r="D151" s="65" t="s">
        <v>13</v>
      </c>
      <c r="E151" s="64" t="s">
        <v>181</v>
      </c>
      <c r="F151" s="65"/>
      <c r="G151" s="22">
        <f aca="true" t="shared" si="49" ref="G151:M151">G152+G154+G156</f>
        <v>91329</v>
      </c>
      <c r="H151" s="53">
        <f t="shared" si="49"/>
        <v>133161.0816</v>
      </c>
      <c r="I151" s="115">
        <f t="shared" si="49"/>
        <v>224490.0816</v>
      </c>
      <c r="J151" s="53">
        <f t="shared" si="49"/>
        <v>3311.6</v>
      </c>
      <c r="K151" s="53">
        <f t="shared" si="49"/>
        <v>227801.6816</v>
      </c>
      <c r="L151" s="53">
        <f t="shared" si="49"/>
        <v>25796.9</v>
      </c>
      <c r="M151" s="53">
        <f t="shared" si="49"/>
        <v>253598.5816</v>
      </c>
    </row>
    <row r="152" spans="1:13" ht="129.75" customHeight="1">
      <c r="A152" s="17"/>
      <c r="B152" s="41" t="s">
        <v>182</v>
      </c>
      <c r="C152" s="65" t="s">
        <v>171</v>
      </c>
      <c r="D152" s="65" t="s">
        <v>13</v>
      </c>
      <c r="E152" s="64" t="s">
        <v>183</v>
      </c>
      <c r="F152" s="65" t="s">
        <v>184</v>
      </c>
      <c r="G152" s="22">
        <v>89502.5</v>
      </c>
      <c r="H152" s="53">
        <v>130497.80348</v>
      </c>
      <c r="I152" s="53">
        <f>89502.5+H152</f>
        <v>220000.30348</v>
      </c>
      <c r="J152" s="53">
        <f>J153</f>
        <v>3245.2</v>
      </c>
      <c r="K152" s="53">
        <f>I152+J152</f>
        <v>223245.50348</v>
      </c>
      <c r="L152" s="53">
        <f>L153</f>
        <v>25280.9</v>
      </c>
      <c r="M152" s="53">
        <f>K152+L152</f>
        <v>248526.40348</v>
      </c>
    </row>
    <row r="153" spans="1:13" ht="36.75" customHeight="1">
      <c r="A153" s="17"/>
      <c r="B153" s="198" t="s">
        <v>185</v>
      </c>
      <c r="C153" s="65" t="s">
        <v>171</v>
      </c>
      <c r="D153" s="65" t="s">
        <v>13</v>
      </c>
      <c r="E153" s="64" t="s">
        <v>183</v>
      </c>
      <c r="F153" s="65" t="s">
        <v>184</v>
      </c>
      <c r="G153" s="22">
        <v>89502.5</v>
      </c>
      <c r="H153" s="53">
        <v>130497.80348</v>
      </c>
      <c r="I153" s="53">
        <f>89502.5+H153</f>
        <v>220000.30348</v>
      </c>
      <c r="J153" s="53">
        <v>3245.2</v>
      </c>
      <c r="K153" s="53">
        <f>I153+J153</f>
        <v>223245.50348</v>
      </c>
      <c r="L153" s="53">
        <v>25280.9</v>
      </c>
      <c r="M153" s="53">
        <f>K153+L153</f>
        <v>248526.40348</v>
      </c>
    </row>
    <row r="154" spans="1:13" ht="99" customHeight="1">
      <c r="A154" s="17"/>
      <c r="B154" s="41" t="s">
        <v>186</v>
      </c>
      <c r="C154" s="65" t="s">
        <v>171</v>
      </c>
      <c r="D154" s="65" t="s">
        <v>13</v>
      </c>
      <c r="E154" s="64" t="s">
        <v>187</v>
      </c>
      <c r="F154" s="65" t="s">
        <v>184</v>
      </c>
      <c r="G154" s="22">
        <v>1369.9</v>
      </c>
      <c r="H154" s="53">
        <v>1997.37812</v>
      </c>
      <c r="I154" s="53">
        <f>1369.9+H154</f>
        <v>3367.27812</v>
      </c>
      <c r="J154" s="53">
        <f>J155</f>
        <v>49.8</v>
      </c>
      <c r="K154" s="53">
        <f>I154+J154</f>
        <v>3417.07812</v>
      </c>
      <c r="L154" s="53">
        <f>L155</f>
        <v>387</v>
      </c>
      <c r="M154" s="53">
        <f>K154+L154</f>
        <v>3804.07812</v>
      </c>
    </row>
    <row r="155" spans="1:13" ht="35.25" customHeight="1">
      <c r="A155" s="17"/>
      <c r="B155" s="198" t="s">
        <v>188</v>
      </c>
      <c r="C155" s="65" t="s">
        <v>171</v>
      </c>
      <c r="D155" s="65" t="s">
        <v>13</v>
      </c>
      <c r="E155" s="64" t="s">
        <v>187</v>
      </c>
      <c r="F155" s="65" t="s">
        <v>184</v>
      </c>
      <c r="G155" s="22">
        <v>1369.9</v>
      </c>
      <c r="H155" s="53">
        <v>1997.37812</v>
      </c>
      <c r="I155" s="53">
        <f>I154</f>
        <v>3367.27812</v>
      </c>
      <c r="J155" s="53">
        <v>49.8</v>
      </c>
      <c r="K155" s="53">
        <f>K154</f>
        <v>3417.07812</v>
      </c>
      <c r="L155" s="53">
        <v>387</v>
      </c>
      <c r="M155" s="53">
        <f>M154</f>
        <v>3804.07812</v>
      </c>
    </row>
    <row r="156" spans="1:13" ht="99" customHeight="1">
      <c r="A156" s="17"/>
      <c r="B156" s="41" t="s">
        <v>189</v>
      </c>
      <c r="C156" s="65" t="s">
        <v>171</v>
      </c>
      <c r="D156" s="65" t="s">
        <v>13</v>
      </c>
      <c r="E156" s="64" t="s">
        <v>190</v>
      </c>
      <c r="F156" s="65" t="s">
        <v>184</v>
      </c>
      <c r="G156" s="22">
        <v>456.6</v>
      </c>
      <c r="H156" s="22">
        <v>665.9</v>
      </c>
      <c r="I156" s="22">
        <f>456.6+H156</f>
        <v>1122.5</v>
      </c>
      <c r="J156" s="22">
        <f>J157</f>
        <v>16.6</v>
      </c>
      <c r="K156" s="53">
        <f>I156+J156</f>
        <v>1139.1</v>
      </c>
      <c r="L156" s="53">
        <f>L157</f>
        <v>129</v>
      </c>
      <c r="M156" s="22">
        <f>K156+L156</f>
        <v>1268.1</v>
      </c>
    </row>
    <row r="157" spans="1:13" ht="33.75" customHeight="1">
      <c r="A157" s="17"/>
      <c r="B157" s="198" t="s">
        <v>113</v>
      </c>
      <c r="C157" s="65" t="s">
        <v>171</v>
      </c>
      <c r="D157" s="65" t="s">
        <v>13</v>
      </c>
      <c r="E157" s="64" t="s">
        <v>190</v>
      </c>
      <c r="F157" s="65" t="s">
        <v>184</v>
      </c>
      <c r="G157" s="22">
        <v>456.6</v>
      </c>
      <c r="H157" s="22">
        <v>665.9</v>
      </c>
      <c r="I157" s="22">
        <f>I156</f>
        <v>1122.5</v>
      </c>
      <c r="J157" s="22">
        <v>16.6</v>
      </c>
      <c r="K157" s="53">
        <f>K156</f>
        <v>1139.1</v>
      </c>
      <c r="L157" s="53">
        <v>129</v>
      </c>
      <c r="M157" s="22">
        <f>M156</f>
        <v>1268.1</v>
      </c>
    </row>
    <row r="158" spans="1:13" ht="116.25" customHeight="1" hidden="1">
      <c r="A158" s="17"/>
      <c r="B158" s="119"/>
      <c r="C158" s="65"/>
      <c r="D158" s="65"/>
      <c r="E158" s="64"/>
      <c r="F158" s="65"/>
      <c r="G158" s="22"/>
      <c r="H158" s="22"/>
      <c r="I158" s="22"/>
      <c r="J158" s="22"/>
      <c r="K158" s="53"/>
      <c r="L158" s="53"/>
      <c r="M158" s="22"/>
    </row>
    <row r="159" spans="1:13" ht="116.25" customHeight="1" hidden="1">
      <c r="A159" s="17"/>
      <c r="B159" s="119"/>
      <c r="C159" s="65"/>
      <c r="D159" s="65"/>
      <c r="E159" s="64"/>
      <c r="F159" s="65"/>
      <c r="G159" s="35"/>
      <c r="H159" s="35"/>
      <c r="I159" s="35"/>
      <c r="J159" s="35"/>
      <c r="K159" s="154"/>
      <c r="L159" s="154"/>
      <c r="M159" s="35"/>
    </row>
    <row r="160" spans="1:13" ht="47.25" customHeight="1" hidden="1">
      <c r="A160" s="17"/>
      <c r="B160" s="13" t="s">
        <v>195</v>
      </c>
      <c r="C160" s="94" t="s">
        <v>171</v>
      </c>
      <c r="D160" s="94" t="s">
        <v>13</v>
      </c>
      <c r="E160" s="95" t="s">
        <v>196</v>
      </c>
      <c r="F160" s="29"/>
      <c r="G160" s="10">
        <f aca="true" t="shared" si="50" ref="G160:M160">G161</f>
        <v>0</v>
      </c>
      <c r="H160" s="10">
        <f t="shared" si="50"/>
        <v>0</v>
      </c>
      <c r="I160" s="10">
        <f t="shared" si="50"/>
        <v>0</v>
      </c>
      <c r="J160" s="10">
        <f t="shared" si="50"/>
        <v>0</v>
      </c>
      <c r="K160" s="52">
        <f t="shared" si="50"/>
        <v>0</v>
      </c>
      <c r="L160" s="52">
        <f t="shared" si="50"/>
        <v>0</v>
      </c>
      <c r="M160" s="10">
        <f t="shared" si="50"/>
        <v>0</v>
      </c>
    </row>
    <row r="161" spans="1:13" ht="47.25" customHeight="1" hidden="1">
      <c r="A161" s="17"/>
      <c r="B161" s="41" t="s">
        <v>197</v>
      </c>
      <c r="C161" s="65" t="s">
        <v>171</v>
      </c>
      <c r="D161" s="65" t="s">
        <v>13</v>
      </c>
      <c r="E161" s="64" t="s">
        <v>198</v>
      </c>
      <c r="F161" s="29"/>
      <c r="G161" s="22">
        <f aca="true" t="shared" si="51" ref="G161:M161">G162+G163</f>
        <v>0</v>
      </c>
      <c r="H161" s="22">
        <f t="shared" si="51"/>
        <v>0</v>
      </c>
      <c r="I161" s="22">
        <f t="shared" si="51"/>
        <v>0</v>
      </c>
      <c r="J161" s="22">
        <f t="shared" si="51"/>
        <v>0</v>
      </c>
      <c r="K161" s="53">
        <f t="shared" si="51"/>
        <v>0</v>
      </c>
      <c r="L161" s="53">
        <f t="shared" si="51"/>
        <v>0</v>
      </c>
      <c r="M161" s="22">
        <f t="shared" si="51"/>
        <v>0</v>
      </c>
    </row>
    <row r="162" spans="1:13" ht="116.25" customHeight="1" hidden="1">
      <c r="A162" s="17"/>
      <c r="B162" s="63" t="s">
        <v>199</v>
      </c>
      <c r="C162" s="65" t="s">
        <v>171</v>
      </c>
      <c r="D162" s="65" t="s">
        <v>13</v>
      </c>
      <c r="E162" s="64" t="s">
        <v>200</v>
      </c>
      <c r="F162" s="65" t="s">
        <v>184</v>
      </c>
      <c r="G162" s="22">
        <v>0</v>
      </c>
      <c r="H162" s="22">
        <v>0</v>
      </c>
      <c r="I162" s="22">
        <v>0</v>
      </c>
      <c r="J162" s="22">
        <v>0</v>
      </c>
      <c r="K162" s="53">
        <v>0</v>
      </c>
      <c r="L162" s="53">
        <v>0</v>
      </c>
      <c r="M162" s="22">
        <v>0</v>
      </c>
    </row>
    <row r="163" spans="1:13" ht="116.25" customHeight="1" hidden="1">
      <c r="A163" s="17"/>
      <c r="B163" s="63" t="s">
        <v>201</v>
      </c>
      <c r="C163" s="65" t="s">
        <v>171</v>
      </c>
      <c r="D163" s="65" t="s">
        <v>13</v>
      </c>
      <c r="E163" s="64" t="s">
        <v>202</v>
      </c>
      <c r="F163" s="65" t="s">
        <v>184</v>
      </c>
      <c r="G163" s="22">
        <v>0</v>
      </c>
      <c r="H163" s="22">
        <v>0</v>
      </c>
      <c r="I163" s="22">
        <v>0</v>
      </c>
      <c r="J163" s="22">
        <v>0</v>
      </c>
      <c r="K163" s="53">
        <v>0</v>
      </c>
      <c r="L163" s="53">
        <v>0</v>
      </c>
      <c r="M163" s="22">
        <v>0</v>
      </c>
    </row>
    <row r="164" spans="1:13" ht="36" customHeight="1">
      <c r="A164" s="17"/>
      <c r="B164" s="13" t="s">
        <v>203</v>
      </c>
      <c r="C164" s="39" t="s">
        <v>171</v>
      </c>
      <c r="D164" s="39" t="s">
        <v>13</v>
      </c>
      <c r="E164" s="40" t="s">
        <v>46</v>
      </c>
      <c r="F164" s="39"/>
      <c r="G164" s="10">
        <f aca="true" t="shared" si="52" ref="G164:K165">G165</f>
        <v>860</v>
      </c>
      <c r="H164" s="10">
        <f t="shared" si="52"/>
        <v>0</v>
      </c>
      <c r="I164" s="10">
        <f t="shared" si="52"/>
        <v>860</v>
      </c>
      <c r="J164" s="10">
        <f t="shared" si="52"/>
        <v>0</v>
      </c>
      <c r="K164" s="52">
        <f t="shared" si="52"/>
        <v>860</v>
      </c>
      <c r="L164" s="52">
        <f>L165</f>
        <v>0</v>
      </c>
      <c r="M164" s="10">
        <f>M165</f>
        <v>860</v>
      </c>
    </row>
    <row r="165" spans="1:13" ht="50.25" customHeight="1">
      <c r="A165" s="17"/>
      <c r="B165" s="58" t="s">
        <v>204</v>
      </c>
      <c r="C165" s="29" t="s">
        <v>171</v>
      </c>
      <c r="D165" s="29" t="s">
        <v>13</v>
      </c>
      <c r="E165" s="30" t="s">
        <v>205</v>
      </c>
      <c r="F165" s="29"/>
      <c r="G165" s="22">
        <f t="shared" si="52"/>
        <v>860</v>
      </c>
      <c r="H165" s="22">
        <f t="shared" si="52"/>
        <v>0</v>
      </c>
      <c r="I165" s="22">
        <f t="shared" si="52"/>
        <v>860</v>
      </c>
      <c r="J165" s="22">
        <f t="shared" si="52"/>
        <v>0</v>
      </c>
      <c r="K165" s="53">
        <f t="shared" si="52"/>
        <v>860</v>
      </c>
      <c r="L165" s="53">
        <f>L166</f>
        <v>0</v>
      </c>
      <c r="M165" s="22">
        <f>M166</f>
        <v>860</v>
      </c>
    </row>
    <row r="166" spans="1:13" ht="84.75" customHeight="1">
      <c r="A166" s="17"/>
      <c r="B166" s="63" t="s">
        <v>206</v>
      </c>
      <c r="C166" s="29" t="s">
        <v>171</v>
      </c>
      <c r="D166" s="29" t="s">
        <v>13</v>
      </c>
      <c r="E166" s="30" t="s">
        <v>207</v>
      </c>
      <c r="F166" s="29" t="s">
        <v>27</v>
      </c>
      <c r="G166" s="22">
        <v>860</v>
      </c>
      <c r="H166" s="22">
        <v>0</v>
      </c>
      <c r="I166" s="22">
        <v>860</v>
      </c>
      <c r="J166" s="22">
        <v>0</v>
      </c>
      <c r="K166" s="53">
        <v>860</v>
      </c>
      <c r="L166" s="53">
        <v>0</v>
      </c>
      <c r="M166" s="22">
        <v>860</v>
      </c>
    </row>
    <row r="167" spans="1:13" ht="18" customHeight="1">
      <c r="A167" s="17"/>
      <c r="B167" s="121" t="s">
        <v>208</v>
      </c>
      <c r="C167" s="111" t="s">
        <v>171</v>
      </c>
      <c r="D167" s="111" t="s">
        <v>15</v>
      </c>
      <c r="E167" s="112"/>
      <c r="F167" s="111"/>
      <c r="G167" s="122">
        <f aca="true" t="shared" si="53" ref="G167:M167">G174+G187+G184+G168</f>
        <v>4104.4</v>
      </c>
      <c r="H167" s="122">
        <f t="shared" si="53"/>
        <v>3542.36</v>
      </c>
      <c r="I167" s="122">
        <f t="shared" si="53"/>
        <v>7646.759999999999</v>
      </c>
      <c r="J167" s="122">
        <f t="shared" si="53"/>
        <v>12567.968</v>
      </c>
      <c r="K167" s="156">
        <f t="shared" si="53"/>
        <v>20214.728000000003</v>
      </c>
      <c r="L167" s="156">
        <f t="shared" si="53"/>
        <v>634.66852</v>
      </c>
      <c r="M167" s="156">
        <f t="shared" si="53"/>
        <v>20849.39652</v>
      </c>
    </row>
    <row r="168" spans="1:13" ht="102" customHeight="1">
      <c r="A168" s="17"/>
      <c r="B168" s="13" t="s">
        <v>69</v>
      </c>
      <c r="C168" s="111" t="s">
        <v>171</v>
      </c>
      <c r="D168" s="111" t="s">
        <v>15</v>
      </c>
      <c r="E168" s="112" t="s">
        <v>24</v>
      </c>
      <c r="F168" s="111"/>
      <c r="G168" s="122">
        <f aca="true" t="shared" si="54" ref="G168:M168">G172+G169</f>
        <v>3404.4</v>
      </c>
      <c r="H168" s="122">
        <f t="shared" si="54"/>
        <v>3400</v>
      </c>
      <c r="I168" s="122">
        <f t="shared" si="54"/>
        <v>6804.4</v>
      </c>
      <c r="J168" s="122">
        <f t="shared" si="54"/>
        <v>12567.968</v>
      </c>
      <c r="K168" s="156">
        <f t="shared" si="54"/>
        <v>19372.368000000002</v>
      </c>
      <c r="L168" s="156">
        <f t="shared" si="54"/>
        <v>414.36851999999993</v>
      </c>
      <c r="M168" s="156">
        <f t="shared" si="54"/>
        <v>19786.73652</v>
      </c>
    </row>
    <row r="169" spans="1:13" ht="36.75" customHeight="1">
      <c r="A169" s="17"/>
      <c r="B169" s="123" t="s">
        <v>70</v>
      </c>
      <c r="C169" s="124" t="s">
        <v>171</v>
      </c>
      <c r="D169" s="124" t="s">
        <v>15</v>
      </c>
      <c r="E169" s="125" t="s">
        <v>71</v>
      </c>
      <c r="F169" s="124"/>
      <c r="G169" s="126">
        <v>0</v>
      </c>
      <c r="H169" s="126">
        <f aca="true" t="shared" si="55" ref="H169:M169">H170</f>
        <v>3400</v>
      </c>
      <c r="I169" s="126">
        <f t="shared" si="55"/>
        <v>3400</v>
      </c>
      <c r="J169" s="126">
        <f t="shared" si="55"/>
        <v>0</v>
      </c>
      <c r="K169" s="157">
        <f t="shared" si="55"/>
        <v>3400</v>
      </c>
      <c r="L169" s="157">
        <f t="shared" si="55"/>
        <v>-1.5</v>
      </c>
      <c r="M169" s="126">
        <f t="shared" si="55"/>
        <v>3398.5</v>
      </c>
    </row>
    <row r="170" spans="1:13" ht="83.25" customHeight="1">
      <c r="A170" s="17"/>
      <c r="B170" s="123" t="s">
        <v>72</v>
      </c>
      <c r="C170" s="124" t="s">
        <v>171</v>
      </c>
      <c r="D170" s="124" t="s">
        <v>15</v>
      </c>
      <c r="E170" s="125" t="s">
        <v>73</v>
      </c>
      <c r="F170" s="124" t="s">
        <v>27</v>
      </c>
      <c r="G170" s="126">
        <v>0</v>
      </c>
      <c r="H170" s="126">
        <v>3400</v>
      </c>
      <c r="I170" s="126">
        <v>3400</v>
      </c>
      <c r="J170" s="126">
        <v>0</v>
      </c>
      <c r="K170" s="157">
        <v>3400</v>
      </c>
      <c r="L170" s="157">
        <v>-1.5</v>
      </c>
      <c r="M170" s="126">
        <f>3400-1.5</f>
        <v>3398.5</v>
      </c>
    </row>
    <row r="171" spans="1:13" ht="52.5" customHeight="1">
      <c r="A171" s="17"/>
      <c r="B171" s="127" t="s">
        <v>209</v>
      </c>
      <c r="C171" s="128" t="s">
        <v>171</v>
      </c>
      <c r="D171" s="128" t="s">
        <v>15</v>
      </c>
      <c r="E171" s="129" t="s">
        <v>73</v>
      </c>
      <c r="F171" s="128" t="s">
        <v>27</v>
      </c>
      <c r="G171" s="126">
        <v>0</v>
      </c>
      <c r="H171" s="126">
        <v>3400</v>
      </c>
      <c r="I171" s="126">
        <v>3400</v>
      </c>
      <c r="J171" s="126">
        <v>0</v>
      </c>
      <c r="K171" s="157">
        <v>3400</v>
      </c>
      <c r="L171" s="157">
        <v>-1.5</v>
      </c>
      <c r="M171" s="126">
        <f>3400-1.5</f>
        <v>3398.5</v>
      </c>
    </row>
    <row r="172" spans="1:13" ht="35.25" customHeight="1">
      <c r="A172" s="17"/>
      <c r="B172" s="113" t="s">
        <v>173</v>
      </c>
      <c r="C172" s="43" t="s">
        <v>171</v>
      </c>
      <c r="D172" s="43" t="s">
        <v>15</v>
      </c>
      <c r="E172" s="114" t="s">
        <v>174</v>
      </c>
      <c r="F172" s="43"/>
      <c r="G172" s="126">
        <f aca="true" t="shared" si="56" ref="G172:M172">G173</f>
        <v>3404.4</v>
      </c>
      <c r="H172" s="126">
        <f t="shared" si="56"/>
        <v>0</v>
      </c>
      <c r="I172" s="126">
        <f t="shared" si="56"/>
        <v>3404.4</v>
      </c>
      <c r="J172" s="126">
        <f t="shared" si="56"/>
        <v>12567.968</v>
      </c>
      <c r="K172" s="157">
        <f t="shared" si="56"/>
        <v>15972.368</v>
      </c>
      <c r="L172" s="157">
        <f t="shared" si="56"/>
        <v>415.86851999999993</v>
      </c>
      <c r="M172" s="157">
        <f t="shared" si="56"/>
        <v>16388.23652</v>
      </c>
    </row>
    <row r="173" spans="1:13" ht="72" customHeight="1">
      <c r="A173" s="17"/>
      <c r="B173" s="113" t="s">
        <v>175</v>
      </c>
      <c r="C173" s="43" t="s">
        <v>171</v>
      </c>
      <c r="D173" s="43" t="s">
        <v>15</v>
      </c>
      <c r="E173" s="114" t="s">
        <v>176</v>
      </c>
      <c r="F173" s="43" t="s">
        <v>27</v>
      </c>
      <c r="G173" s="126">
        <v>3404.4</v>
      </c>
      <c r="H173" s="126">
        <v>0</v>
      </c>
      <c r="I173" s="126">
        <v>3404.4</v>
      </c>
      <c r="J173" s="126">
        <f>12850-282.032</f>
        <v>12567.968</v>
      </c>
      <c r="K173" s="157">
        <f>3404.4+J173</f>
        <v>15972.368</v>
      </c>
      <c r="L173" s="157">
        <f>418.4-0.06114-2.47034</f>
        <v>415.86851999999993</v>
      </c>
      <c r="M173" s="157">
        <f>K173+L173</f>
        <v>16388.23652</v>
      </c>
    </row>
    <row r="174" spans="1:13" ht="99" customHeight="1">
      <c r="A174" s="17"/>
      <c r="B174" s="13" t="s">
        <v>210</v>
      </c>
      <c r="C174" s="39" t="s">
        <v>171</v>
      </c>
      <c r="D174" s="39" t="s">
        <v>15</v>
      </c>
      <c r="E174" s="130" t="s">
        <v>211</v>
      </c>
      <c r="F174" s="39"/>
      <c r="G174" s="10">
        <f>G180</f>
        <v>500</v>
      </c>
      <c r="H174" s="10">
        <f>H180</f>
        <v>0</v>
      </c>
      <c r="I174" s="10">
        <f>I180</f>
        <v>500</v>
      </c>
      <c r="J174" s="10">
        <f>J180</f>
        <v>0</v>
      </c>
      <c r="K174" s="52">
        <f>K180</f>
        <v>500</v>
      </c>
      <c r="L174" s="52">
        <f>L180+L182</f>
        <v>220.3</v>
      </c>
      <c r="M174" s="10">
        <f>M180+M182</f>
        <v>720.3</v>
      </c>
    </row>
    <row r="175" spans="1:13" ht="116.25" customHeight="1" hidden="1">
      <c r="A175" s="17"/>
      <c r="B175" s="58" t="s">
        <v>212</v>
      </c>
      <c r="C175" s="65" t="s">
        <v>171</v>
      </c>
      <c r="D175" s="65" t="s">
        <v>15</v>
      </c>
      <c r="E175" s="91" t="s">
        <v>213</v>
      </c>
      <c r="F175" s="65"/>
      <c r="G175" s="22">
        <f aca="true" t="shared" si="57" ref="G175:M175">G176</f>
        <v>0</v>
      </c>
      <c r="H175" s="22">
        <f t="shared" si="57"/>
        <v>0</v>
      </c>
      <c r="I175" s="22">
        <f t="shared" si="57"/>
        <v>0</v>
      </c>
      <c r="J175" s="22">
        <f t="shared" si="57"/>
        <v>0</v>
      </c>
      <c r="K175" s="53">
        <f t="shared" si="57"/>
        <v>0</v>
      </c>
      <c r="L175" s="53">
        <f t="shared" si="57"/>
        <v>0</v>
      </c>
      <c r="M175" s="22">
        <f t="shared" si="57"/>
        <v>0</v>
      </c>
    </row>
    <row r="176" spans="1:13" ht="116.25" customHeight="1" hidden="1">
      <c r="A176" s="17"/>
      <c r="B176" s="63" t="s">
        <v>214</v>
      </c>
      <c r="C176" s="65" t="s">
        <v>171</v>
      </c>
      <c r="D176" s="65" t="s">
        <v>15</v>
      </c>
      <c r="E176" s="92" t="s">
        <v>215</v>
      </c>
      <c r="F176" s="65" t="s">
        <v>184</v>
      </c>
      <c r="G176" s="22">
        <v>0</v>
      </c>
      <c r="H176" s="22">
        <v>0</v>
      </c>
      <c r="I176" s="22">
        <v>0</v>
      </c>
      <c r="J176" s="22">
        <v>0</v>
      </c>
      <c r="K176" s="53">
        <v>0</v>
      </c>
      <c r="L176" s="53">
        <v>0</v>
      </c>
      <c r="M176" s="22">
        <v>0</v>
      </c>
    </row>
    <row r="177" spans="1:13" ht="116.25" customHeight="1" hidden="1">
      <c r="A177" s="17"/>
      <c r="B177" s="120" t="s">
        <v>113</v>
      </c>
      <c r="C177" s="65" t="s">
        <v>171</v>
      </c>
      <c r="D177" s="65" t="s">
        <v>15</v>
      </c>
      <c r="E177" s="92" t="s">
        <v>215</v>
      </c>
      <c r="F177" s="65" t="s">
        <v>184</v>
      </c>
      <c r="G177" s="22">
        <v>0</v>
      </c>
      <c r="H177" s="22">
        <v>0</v>
      </c>
      <c r="I177" s="22">
        <v>0</v>
      </c>
      <c r="J177" s="22">
        <v>0</v>
      </c>
      <c r="K177" s="53">
        <v>0</v>
      </c>
      <c r="L177" s="53">
        <v>0</v>
      </c>
      <c r="M177" s="22">
        <v>0</v>
      </c>
    </row>
    <row r="178" spans="1:13" ht="116.25" customHeight="1" hidden="1">
      <c r="A178" s="17"/>
      <c r="B178" s="58" t="s">
        <v>216</v>
      </c>
      <c r="C178" s="65" t="s">
        <v>171</v>
      </c>
      <c r="D178" s="65" t="s">
        <v>15</v>
      </c>
      <c r="E178" s="91" t="s">
        <v>217</v>
      </c>
      <c r="F178" s="65"/>
      <c r="G178" s="22">
        <f aca="true" t="shared" si="58" ref="G178:M178">G179+G181</f>
        <v>500</v>
      </c>
      <c r="H178" s="22">
        <f t="shared" si="58"/>
        <v>0</v>
      </c>
      <c r="I178" s="22">
        <f t="shared" si="58"/>
        <v>500</v>
      </c>
      <c r="J178" s="22">
        <f t="shared" si="58"/>
        <v>0</v>
      </c>
      <c r="K178" s="53">
        <f t="shared" si="58"/>
        <v>500</v>
      </c>
      <c r="L178" s="53">
        <f t="shared" si="58"/>
        <v>0</v>
      </c>
      <c r="M178" s="22">
        <f t="shared" si="58"/>
        <v>500</v>
      </c>
    </row>
    <row r="179" spans="1:13" ht="116.25" customHeight="1" hidden="1">
      <c r="A179" s="17"/>
      <c r="B179" s="63" t="s">
        <v>218</v>
      </c>
      <c r="C179" s="65" t="s">
        <v>171</v>
      </c>
      <c r="D179" s="65" t="s">
        <v>15</v>
      </c>
      <c r="E179" s="91" t="s">
        <v>219</v>
      </c>
      <c r="F179" s="65" t="s">
        <v>184</v>
      </c>
      <c r="G179" s="22">
        <v>0</v>
      </c>
      <c r="H179" s="22">
        <v>0</v>
      </c>
      <c r="I179" s="22">
        <v>0</v>
      </c>
      <c r="J179" s="22">
        <v>0</v>
      </c>
      <c r="K179" s="53">
        <v>0</v>
      </c>
      <c r="L179" s="53">
        <v>0</v>
      </c>
      <c r="M179" s="22">
        <v>0</v>
      </c>
    </row>
    <row r="180" spans="1:13" ht="34.5" customHeight="1">
      <c r="A180" s="17"/>
      <c r="B180" s="63" t="s">
        <v>220</v>
      </c>
      <c r="C180" s="65" t="s">
        <v>171</v>
      </c>
      <c r="D180" s="65" t="s">
        <v>15</v>
      </c>
      <c r="E180" s="91" t="s">
        <v>221</v>
      </c>
      <c r="F180" s="65"/>
      <c r="G180" s="22">
        <f aca="true" t="shared" si="59" ref="G180:M180">G181</f>
        <v>500</v>
      </c>
      <c r="H180" s="22">
        <f t="shared" si="59"/>
        <v>0</v>
      </c>
      <c r="I180" s="22">
        <f t="shared" si="59"/>
        <v>500</v>
      </c>
      <c r="J180" s="22">
        <f t="shared" si="59"/>
        <v>0</v>
      </c>
      <c r="K180" s="53">
        <f t="shared" si="59"/>
        <v>500</v>
      </c>
      <c r="L180" s="53">
        <f t="shared" si="59"/>
        <v>0</v>
      </c>
      <c r="M180" s="22">
        <f t="shared" si="59"/>
        <v>500</v>
      </c>
    </row>
    <row r="181" spans="1:13" ht="99.75" customHeight="1">
      <c r="A181" s="17"/>
      <c r="B181" s="63" t="s">
        <v>222</v>
      </c>
      <c r="C181" s="65" t="s">
        <v>171</v>
      </c>
      <c r="D181" s="65" t="s">
        <v>15</v>
      </c>
      <c r="E181" s="91" t="s">
        <v>223</v>
      </c>
      <c r="F181" s="65" t="s">
        <v>27</v>
      </c>
      <c r="G181" s="22">
        <v>500</v>
      </c>
      <c r="H181" s="22">
        <v>0</v>
      </c>
      <c r="I181" s="22">
        <v>500</v>
      </c>
      <c r="J181" s="22">
        <v>0</v>
      </c>
      <c r="K181" s="53">
        <v>500</v>
      </c>
      <c r="L181" s="53">
        <v>0</v>
      </c>
      <c r="M181" s="22">
        <v>500</v>
      </c>
    </row>
    <row r="182" spans="1:13" ht="54.75" customHeight="1">
      <c r="A182" s="17"/>
      <c r="B182" s="63" t="s">
        <v>360</v>
      </c>
      <c r="C182" s="65" t="s">
        <v>171</v>
      </c>
      <c r="D182" s="65" t="s">
        <v>15</v>
      </c>
      <c r="E182" s="91" t="s">
        <v>343</v>
      </c>
      <c r="F182" s="65"/>
      <c r="G182" s="22">
        <v>0</v>
      </c>
      <c r="H182" s="22">
        <v>0</v>
      </c>
      <c r="I182" s="22">
        <v>0</v>
      </c>
      <c r="J182" s="22">
        <v>0</v>
      </c>
      <c r="K182" s="53">
        <v>0</v>
      </c>
      <c r="L182" s="53">
        <f>L183</f>
        <v>220.3</v>
      </c>
      <c r="M182" s="22">
        <f>M183</f>
        <v>220.3</v>
      </c>
    </row>
    <row r="183" spans="1:13" ht="100.5" customHeight="1">
      <c r="A183" s="17"/>
      <c r="B183" s="63" t="s">
        <v>345</v>
      </c>
      <c r="C183" s="65" t="s">
        <v>171</v>
      </c>
      <c r="D183" s="65" t="s">
        <v>15</v>
      </c>
      <c r="E183" s="91" t="s">
        <v>344</v>
      </c>
      <c r="F183" s="65" t="s">
        <v>27</v>
      </c>
      <c r="G183" s="22">
        <v>0</v>
      </c>
      <c r="H183" s="22">
        <v>0</v>
      </c>
      <c r="I183" s="22">
        <v>0</v>
      </c>
      <c r="J183" s="22">
        <v>0</v>
      </c>
      <c r="K183" s="53">
        <v>0</v>
      </c>
      <c r="L183" s="53">
        <v>220.3</v>
      </c>
      <c r="M183" s="22">
        <f>K183+L183</f>
        <v>220.3</v>
      </c>
    </row>
    <row r="184" spans="1:13" ht="102.75" customHeight="1">
      <c r="A184" s="17"/>
      <c r="B184" s="66" t="s">
        <v>224</v>
      </c>
      <c r="C184" s="94" t="s">
        <v>171</v>
      </c>
      <c r="D184" s="94" t="s">
        <v>15</v>
      </c>
      <c r="E184" s="130" t="s">
        <v>225</v>
      </c>
      <c r="F184" s="94"/>
      <c r="G184" s="10">
        <f aca="true" t="shared" si="60" ref="G184:M184">G185+G190</f>
        <v>200</v>
      </c>
      <c r="H184" s="10">
        <f t="shared" si="60"/>
        <v>142.36</v>
      </c>
      <c r="I184" s="10">
        <f t="shared" si="60"/>
        <v>342.36</v>
      </c>
      <c r="J184" s="10">
        <f t="shared" si="60"/>
        <v>0</v>
      </c>
      <c r="K184" s="52">
        <f t="shared" si="60"/>
        <v>342.36</v>
      </c>
      <c r="L184" s="52">
        <f t="shared" si="60"/>
        <v>0</v>
      </c>
      <c r="M184" s="10">
        <f t="shared" si="60"/>
        <v>342.36</v>
      </c>
    </row>
    <row r="185" spans="1:13" ht="51" customHeight="1">
      <c r="A185" s="17"/>
      <c r="B185" s="63" t="s">
        <v>361</v>
      </c>
      <c r="C185" s="65" t="s">
        <v>171</v>
      </c>
      <c r="D185" s="65" t="s">
        <v>15</v>
      </c>
      <c r="E185" s="91" t="s">
        <v>217</v>
      </c>
      <c r="F185" s="65"/>
      <c r="G185" s="22">
        <f aca="true" t="shared" si="61" ref="G185:M185">G186</f>
        <v>200</v>
      </c>
      <c r="H185" s="22">
        <f t="shared" si="61"/>
        <v>0</v>
      </c>
      <c r="I185" s="22">
        <f t="shared" si="61"/>
        <v>200</v>
      </c>
      <c r="J185" s="22">
        <f t="shared" si="61"/>
        <v>0</v>
      </c>
      <c r="K185" s="53">
        <f t="shared" si="61"/>
        <v>200</v>
      </c>
      <c r="L185" s="53">
        <f t="shared" si="61"/>
        <v>0</v>
      </c>
      <c r="M185" s="22">
        <f t="shared" si="61"/>
        <v>200</v>
      </c>
    </row>
    <row r="186" spans="1:13" ht="99" customHeight="1">
      <c r="A186" s="17"/>
      <c r="B186" s="63" t="s">
        <v>362</v>
      </c>
      <c r="C186" s="65" t="s">
        <v>171</v>
      </c>
      <c r="D186" s="65" t="s">
        <v>15</v>
      </c>
      <c r="E186" s="91" t="s">
        <v>226</v>
      </c>
      <c r="F186" s="65" t="s">
        <v>27</v>
      </c>
      <c r="G186" s="22">
        <v>200</v>
      </c>
      <c r="H186" s="22">
        <v>0</v>
      </c>
      <c r="I186" s="22">
        <v>200</v>
      </c>
      <c r="J186" s="22">
        <v>0</v>
      </c>
      <c r="K186" s="53">
        <v>200</v>
      </c>
      <c r="L186" s="53">
        <v>0</v>
      </c>
      <c r="M186" s="22">
        <v>200</v>
      </c>
    </row>
    <row r="187" spans="1:13" ht="110.25" customHeight="1" hidden="1">
      <c r="A187" s="17"/>
      <c r="B187" s="13" t="s">
        <v>227</v>
      </c>
      <c r="C187" s="39" t="s">
        <v>171</v>
      </c>
      <c r="D187" s="39" t="s">
        <v>15</v>
      </c>
      <c r="E187" s="40" t="s">
        <v>135</v>
      </c>
      <c r="F187" s="65"/>
      <c r="G187" s="10">
        <f aca="true" t="shared" si="62" ref="G187:K188">G188</f>
        <v>0</v>
      </c>
      <c r="H187" s="10">
        <f t="shared" si="62"/>
        <v>0</v>
      </c>
      <c r="I187" s="10">
        <f t="shared" si="62"/>
        <v>0</v>
      </c>
      <c r="J187" s="10">
        <f t="shared" si="62"/>
        <v>0</v>
      </c>
      <c r="K187" s="52">
        <f t="shared" si="62"/>
        <v>0</v>
      </c>
      <c r="L187" s="52">
        <f>L188</f>
        <v>0</v>
      </c>
      <c r="M187" s="10">
        <f>M188</f>
        <v>0</v>
      </c>
    </row>
    <row r="188" spans="1:13" ht="116.25" customHeight="1" hidden="1">
      <c r="A188" s="17"/>
      <c r="B188" s="89" t="s">
        <v>136</v>
      </c>
      <c r="C188" s="65" t="s">
        <v>171</v>
      </c>
      <c r="D188" s="65" t="s">
        <v>15</v>
      </c>
      <c r="E188" s="64" t="s">
        <v>137</v>
      </c>
      <c r="F188" s="65"/>
      <c r="G188" s="22">
        <f t="shared" si="62"/>
        <v>0</v>
      </c>
      <c r="H188" s="22">
        <f t="shared" si="62"/>
        <v>0</v>
      </c>
      <c r="I188" s="22">
        <f t="shared" si="62"/>
        <v>0</v>
      </c>
      <c r="J188" s="22">
        <f t="shared" si="62"/>
        <v>0</v>
      </c>
      <c r="K188" s="53">
        <f t="shared" si="62"/>
        <v>0</v>
      </c>
      <c r="L188" s="53">
        <f>L189</f>
        <v>0</v>
      </c>
      <c r="M188" s="22">
        <f>M189</f>
        <v>0</v>
      </c>
    </row>
    <row r="189" spans="1:13" ht="6" customHeight="1" hidden="1">
      <c r="A189" s="17"/>
      <c r="B189" s="19" t="s">
        <v>228</v>
      </c>
      <c r="C189" s="65" t="s">
        <v>171</v>
      </c>
      <c r="D189" s="65" t="s">
        <v>15</v>
      </c>
      <c r="E189" s="64" t="s">
        <v>139</v>
      </c>
      <c r="F189" s="65" t="s">
        <v>27</v>
      </c>
      <c r="G189" s="22">
        <v>0</v>
      </c>
      <c r="H189" s="22">
        <v>0</v>
      </c>
      <c r="I189" s="22">
        <v>0</v>
      </c>
      <c r="J189" s="22">
        <v>0</v>
      </c>
      <c r="K189" s="53">
        <v>0</v>
      </c>
      <c r="L189" s="53">
        <v>0</v>
      </c>
      <c r="M189" s="22">
        <v>0</v>
      </c>
    </row>
    <row r="190" spans="1:13" ht="115.5" customHeight="1">
      <c r="A190" s="17"/>
      <c r="B190" s="81" t="s">
        <v>229</v>
      </c>
      <c r="C190" s="103" t="s">
        <v>171</v>
      </c>
      <c r="D190" s="103" t="s">
        <v>15</v>
      </c>
      <c r="E190" s="104" t="s">
        <v>219</v>
      </c>
      <c r="F190" s="82" t="s">
        <v>27</v>
      </c>
      <c r="G190" s="22">
        <v>0</v>
      </c>
      <c r="H190" s="22">
        <v>142.36</v>
      </c>
      <c r="I190" s="22">
        <f>+142.36</f>
        <v>142.36</v>
      </c>
      <c r="J190" s="22">
        <v>0</v>
      </c>
      <c r="K190" s="53">
        <f>+142.36</f>
        <v>142.36</v>
      </c>
      <c r="L190" s="53">
        <v>0</v>
      </c>
      <c r="M190" s="22">
        <f>+142.36</f>
        <v>142.36</v>
      </c>
    </row>
    <row r="191" spans="1:13" ht="20.25" customHeight="1">
      <c r="A191" s="17"/>
      <c r="B191" s="13" t="s">
        <v>230</v>
      </c>
      <c r="C191" s="39" t="s">
        <v>171</v>
      </c>
      <c r="D191" s="39" t="s">
        <v>24</v>
      </c>
      <c r="E191" s="40"/>
      <c r="F191" s="39"/>
      <c r="G191" s="10">
        <f>G192+G195+G211+G234</f>
        <v>12092.3</v>
      </c>
      <c r="H191" s="10">
        <f aca="true" t="shared" si="63" ref="H191:M191">H192+H195+H211+H236</f>
        <v>3833.2</v>
      </c>
      <c r="I191" s="10">
        <f t="shared" si="63"/>
        <v>15925.5</v>
      </c>
      <c r="J191" s="10">
        <f t="shared" si="63"/>
        <v>112774.1</v>
      </c>
      <c r="K191" s="52">
        <f t="shared" si="63"/>
        <v>128699.6</v>
      </c>
      <c r="L191" s="52">
        <f>L192+L195+L211+L236</f>
        <v>-11630.036350000002</v>
      </c>
      <c r="M191" s="52">
        <f t="shared" si="63"/>
        <v>118927.76365000001</v>
      </c>
    </row>
    <row r="192" spans="1:13" ht="116.25" customHeight="1" hidden="1">
      <c r="A192" s="17"/>
      <c r="B192" s="13" t="s">
        <v>85</v>
      </c>
      <c r="C192" s="39" t="s">
        <v>171</v>
      </c>
      <c r="D192" s="39" t="s">
        <v>24</v>
      </c>
      <c r="E192" s="40" t="s">
        <v>29</v>
      </c>
      <c r="F192" s="39"/>
      <c r="G192" s="10">
        <f aca="true" t="shared" si="64" ref="G192:K193">G193</f>
        <v>0</v>
      </c>
      <c r="H192" s="10">
        <f t="shared" si="64"/>
        <v>0</v>
      </c>
      <c r="I192" s="10">
        <f t="shared" si="64"/>
        <v>0</v>
      </c>
      <c r="J192" s="10">
        <f t="shared" si="64"/>
        <v>0</v>
      </c>
      <c r="K192" s="52">
        <f t="shared" si="64"/>
        <v>0</v>
      </c>
      <c r="L192" s="52">
        <f>L193</f>
        <v>0</v>
      </c>
      <c r="M192" s="52">
        <f>M193</f>
        <v>0</v>
      </c>
    </row>
    <row r="193" spans="1:13" ht="116.25" customHeight="1" hidden="1">
      <c r="A193" s="17"/>
      <c r="B193" s="41" t="s">
        <v>231</v>
      </c>
      <c r="C193" s="29" t="s">
        <v>171</v>
      </c>
      <c r="D193" s="29" t="s">
        <v>24</v>
      </c>
      <c r="E193" s="30" t="s">
        <v>87</v>
      </c>
      <c r="F193" s="29"/>
      <c r="G193" s="22">
        <f t="shared" si="64"/>
        <v>0</v>
      </c>
      <c r="H193" s="22">
        <f t="shared" si="64"/>
        <v>0</v>
      </c>
      <c r="I193" s="22">
        <f t="shared" si="64"/>
        <v>0</v>
      </c>
      <c r="J193" s="22">
        <f t="shared" si="64"/>
        <v>0</v>
      </c>
      <c r="K193" s="53">
        <f t="shared" si="64"/>
        <v>0</v>
      </c>
      <c r="L193" s="53">
        <f>L194</f>
        <v>0</v>
      </c>
      <c r="M193" s="53">
        <f>M194</f>
        <v>0</v>
      </c>
    </row>
    <row r="194" spans="1:13" ht="47.25" customHeight="1" hidden="1">
      <c r="A194" s="17"/>
      <c r="B194" s="63" t="s">
        <v>232</v>
      </c>
      <c r="C194" s="29" t="s">
        <v>171</v>
      </c>
      <c r="D194" s="29" t="s">
        <v>24</v>
      </c>
      <c r="E194" s="30" t="s">
        <v>89</v>
      </c>
      <c r="F194" s="29" t="s">
        <v>27</v>
      </c>
      <c r="G194" s="22">
        <v>0</v>
      </c>
      <c r="H194" s="22">
        <v>0</v>
      </c>
      <c r="I194" s="22">
        <v>0</v>
      </c>
      <c r="J194" s="22">
        <v>0</v>
      </c>
      <c r="K194" s="53">
        <v>0</v>
      </c>
      <c r="L194" s="53">
        <v>0</v>
      </c>
      <c r="M194" s="53">
        <v>0</v>
      </c>
    </row>
    <row r="195" spans="1:13" ht="98.25" customHeight="1">
      <c r="A195" s="17"/>
      <c r="B195" s="13" t="s">
        <v>210</v>
      </c>
      <c r="C195" s="39" t="s">
        <v>171</v>
      </c>
      <c r="D195" s="39" t="s">
        <v>24</v>
      </c>
      <c r="E195" s="40" t="s">
        <v>211</v>
      </c>
      <c r="F195" s="29"/>
      <c r="G195" s="10">
        <f>G196+G198+G202+G205+G207</f>
        <v>5350</v>
      </c>
      <c r="H195" s="10">
        <f>H196+H198+H202+H205+H207</f>
        <v>0</v>
      </c>
      <c r="I195" s="10">
        <f>I196+I198+I202+I205+I207</f>
        <v>5350</v>
      </c>
      <c r="J195" s="10">
        <f>J196+J198+J202+J205+J207+J209</f>
        <v>1434.1</v>
      </c>
      <c r="K195" s="52">
        <f>K196+K198+K202+K205+K207+K209</f>
        <v>6784.1</v>
      </c>
      <c r="L195" s="52">
        <f>L196+L198+L202+L205+L207+L209</f>
        <v>3457.69089</v>
      </c>
      <c r="M195" s="52">
        <f>M196+M198+M202+M205+M207+M209</f>
        <v>10241.79089</v>
      </c>
    </row>
    <row r="196" spans="1:13" ht="38.25" customHeight="1">
      <c r="A196" s="17"/>
      <c r="B196" s="63" t="s">
        <v>233</v>
      </c>
      <c r="C196" s="29" t="s">
        <v>171</v>
      </c>
      <c r="D196" s="29" t="s">
        <v>24</v>
      </c>
      <c r="E196" s="30" t="s">
        <v>234</v>
      </c>
      <c r="F196" s="29"/>
      <c r="G196" s="22">
        <f aca="true" t="shared" si="65" ref="G196:M196">G197</f>
        <v>3200</v>
      </c>
      <c r="H196" s="22">
        <f t="shared" si="65"/>
        <v>0</v>
      </c>
      <c r="I196" s="22">
        <f t="shared" si="65"/>
        <v>3200</v>
      </c>
      <c r="J196" s="22">
        <f t="shared" si="65"/>
        <v>0</v>
      </c>
      <c r="K196" s="53">
        <f t="shared" si="65"/>
        <v>3200</v>
      </c>
      <c r="L196" s="53">
        <f t="shared" si="65"/>
        <v>905.8</v>
      </c>
      <c r="M196" s="22">
        <f t="shared" si="65"/>
        <v>4105.8</v>
      </c>
    </row>
    <row r="197" spans="1:13" ht="54" customHeight="1">
      <c r="A197" s="17"/>
      <c r="B197" s="41" t="s">
        <v>235</v>
      </c>
      <c r="C197" s="29" t="s">
        <v>171</v>
      </c>
      <c r="D197" s="29" t="s">
        <v>24</v>
      </c>
      <c r="E197" s="30" t="s">
        <v>236</v>
      </c>
      <c r="F197" s="29" t="s">
        <v>27</v>
      </c>
      <c r="G197" s="22">
        <v>3200</v>
      </c>
      <c r="H197" s="22">
        <v>0</v>
      </c>
      <c r="I197" s="22">
        <v>3200</v>
      </c>
      <c r="J197" s="22">
        <v>0</v>
      </c>
      <c r="K197" s="53">
        <v>3200</v>
      </c>
      <c r="L197" s="53">
        <f>905.8</f>
        <v>905.8</v>
      </c>
      <c r="M197" s="22">
        <f>3200+L197</f>
        <v>4105.8</v>
      </c>
    </row>
    <row r="198" spans="1:13" ht="43.5" customHeight="1">
      <c r="A198" s="17"/>
      <c r="B198" s="63" t="s">
        <v>237</v>
      </c>
      <c r="C198" s="29" t="s">
        <v>171</v>
      </c>
      <c r="D198" s="29" t="s">
        <v>24</v>
      </c>
      <c r="E198" s="30" t="s">
        <v>238</v>
      </c>
      <c r="F198" s="29"/>
      <c r="G198" s="22">
        <f>G201</f>
        <v>50</v>
      </c>
      <c r="H198" s="22">
        <f>H201</f>
        <v>0</v>
      </c>
      <c r="I198" s="22">
        <f>I201</f>
        <v>50</v>
      </c>
      <c r="J198" s="22">
        <f>J199+J201</f>
        <v>1450</v>
      </c>
      <c r="K198" s="53">
        <f>I198+J198</f>
        <v>1500</v>
      </c>
      <c r="L198" s="53">
        <f>L199+L201</f>
        <v>0</v>
      </c>
      <c r="M198" s="22">
        <f>K198+L198</f>
        <v>1500</v>
      </c>
    </row>
    <row r="199" spans="1:13" ht="131.25" customHeight="1">
      <c r="A199" s="17"/>
      <c r="B199" s="63" t="s">
        <v>336</v>
      </c>
      <c r="C199" s="29" t="s">
        <v>171</v>
      </c>
      <c r="D199" s="29" t="s">
        <v>24</v>
      </c>
      <c r="E199" s="30" t="s">
        <v>337</v>
      </c>
      <c r="F199" s="29" t="s">
        <v>27</v>
      </c>
      <c r="G199" s="22">
        <v>0</v>
      </c>
      <c r="H199" s="22">
        <v>0</v>
      </c>
      <c r="I199" s="22">
        <v>0</v>
      </c>
      <c r="J199" s="22">
        <f>1320+50+15.9+114.1</f>
        <v>1500</v>
      </c>
      <c r="K199" s="53">
        <f>I199+J199</f>
        <v>1500</v>
      </c>
      <c r="L199" s="53">
        <v>0</v>
      </c>
      <c r="M199" s="22">
        <f>K199+L199</f>
        <v>1500</v>
      </c>
    </row>
    <row r="200" spans="1:13" ht="35.25" customHeight="1">
      <c r="A200" s="17"/>
      <c r="B200" s="191" t="s">
        <v>113</v>
      </c>
      <c r="C200" s="29" t="s">
        <v>171</v>
      </c>
      <c r="D200" s="29" t="s">
        <v>24</v>
      </c>
      <c r="E200" s="30" t="s">
        <v>337</v>
      </c>
      <c r="F200" s="29" t="s">
        <v>27</v>
      </c>
      <c r="G200" s="22">
        <v>0</v>
      </c>
      <c r="H200" s="22">
        <v>0</v>
      </c>
      <c r="I200" s="22">
        <v>0</v>
      </c>
      <c r="J200" s="22">
        <v>180</v>
      </c>
      <c r="K200" s="53">
        <v>180</v>
      </c>
      <c r="L200" s="53">
        <v>0</v>
      </c>
      <c r="M200" s="22">
        <v>180</v>
      </c>
    </row>
    <row r="201" spans="1:13" ht="67.5" customHeight="1" hidden="1">
      <c r="A201" s="17"/>
      <c r="B201" s="41" t="s">
        <v>239</v>
      </c>
      <c r="C201" s="29" t="s">
        <v>171</v>
      </c>
      <c r="D201" s="29" t="s">
        <v>24</v>
      </c>
      <c r="E201" s="30" t="s">
        <v>240</v>
      </c>
      <c r="F201" s="29" t="s">
        <v>27</v>
      </c>
      <c r="G201" s="22">
        <v>50</v>
      </c>
      <c r="H201" s="22">
        <v>0</v>
      </c>
      <c r="I201" s="22">
        <v>50</v>
      </c>
      <c r="J201" s="22">
        <v>-50</v>
      </c>
      <c r="K201" s="53">
        <v>50</v>
      </c>
      <c r="L201" s="53">
        <v>0</v>
      </c>
      <c r="M201" s="22">
        <v>0</v>
      </c>
    </row>
    <row r="202" spans="1:13" ht="53.25" customHeight="1">
      <c r="A202" s="17"/>
      <c r="B202" s="63" t="s">
        <v>241</v>
      </c>
      <c r="C202" s="29" t="s">
        <v>171</v>
      </c>
      <c r="D202" s="29" t="s">
        <v>24</v>
      </c>
      <c r="E202" s="30" t="s">
        <v>242</v>
      </c>
      <c r="F202" s="29"/>
      <c r="G202" s="22">
        <f>G203</f>
        <v>800</v>
      </c>
      <c r="H202" s="22">
        <f>H203</f>
        <v>0</v>
      </c>
      <c r="I202" s="22">
        <f>I203</f>
        <v>800</v>
      </c>
      <c r="J202" s="22">
        <f>J203</f>
        <v>-15.9</v>
      </c>
      <c r="K202" s="53">
        <f>K203</f>
        <v>784.1</v>
      </c>
      <c r="L202" s="53">
        <f>L203+L204</f>
        <v>451.89089000000007</v>
      </c>
      <c r="M202" s="53">
        <f>M203+M204</f>
        <v>1235.99089</v>
      </c>
    </row>
    <row r="203" spans="1:13" ht="70.5" customHeight="1">
      <c r="A203" s="17"/>
      <c r="B203" s="41" t="s">
        <v>243</v>
      </c>
      <c r="C203" s="29" t="s">
        <v>171</v>
      </c>
      <c r="D203" s="29" t="s">
        <v>24</v>
      </c>
      <c r="E203" s="30" t="s">
        <v>244</v>
      </c>
      <c r="F203" s="29" t="s">
        <v>27</v>
      </c>
      <c r="G203" s="22">
        <f>1000-200</f>
        <v>800</v>
      </c>
      <c r="H203" s="22">
        <v>0</v>
      </c>
      <c r="I203" s="22">
        <f>1000-200</f>
        <v>800</v>
      </c>
      <c r="J203" s="22">
        <v>-15.9</v>
      </c>
      <c r="K203" s="53">
        <f>1000-200-15.9</f>
        <v>784.1</v>
      </c>
      <c r="L203" s="165">
        <f>450.42055-30+145+150-145-150+1.47034</f>
        <v>421.89089000000007</v>
      </c>
      <c r="M203" s="53">
        <f>1000-200-15.9+L203</f>
        <v>1205.99089</v>
      </c>
    </row>
    <row r="204" spans="1:13" ht="53.25" customHeight="1">
      <c r="A204" s="17"/>
      <c r="B204" s="41" t="s">
        <v>346</v>
      </c>
      <c r="C204" s="29" t="s">
        <v>171</v>
      </c>
      <c r="D204" s="29" t="s">
        <v>24</v>
      </c>
      <c r="E204" s="30" t="s">
        <v>244</v>
      </c>
      <c r="F204" s="29" t="s">
        <v>39</v>
      </c>
      <c r="G204" s="22">
        <v>0</v>
      </c>
      <c r="H204" s="22">
        <v>0</v>
      </c>
      <c r="I204" s="22">
        <v>0</v>
      </c>
      <c r="J204" s="22">
        <v>0</v>
      </c>
      <c r="K204" s="53">
        <v>0</v>
      </c>
      <c r="L204" s="53">
        <v>30</v>
      </c>
      <c r="M204" s="22">
        <f>K204+L204</f>
        <v>30</v>
      </c>
    </row>
    <row r="205" spans="1:13" ht="35.25" customHeight="1">
      <c r="A205" s="17"/>
      <c r="B205" s="63" t="s">
        <v>363</v>
      </c>
      <c r="C205" s="29" t="s">
        <v>171</v>
      </c>
      <c r="D205" s="29" t="s">
        <v>24</v>
      </c>
      <c r="E205" s="30" t="s">
        <v>245</v>
      </c>
      <c r="F205" s="29"/>
      <c r="G205" s="22">
        <f aca="true" t="shared" si="66" ref="G205:M205">G206</f>
        <v>1000</v>
      </c>
      <c r="H205" s="22">
        <f t="shared" si="66"/>
        <v>0</v>
      </c>
      <c r="I205" s="22">
        <f t="shared" si="66"/>
        <v>1000</v>
      </c>
      <c r="J205" s="22">
        <f t="shared" si="66"/>
        <v>0</v>
      </c>
      <c r="K205" s="53">
        <f t="shared" si="66"/>
        <v>1000</v>
      </c>
      <c r="L205" s="53">
        <f t="shared" si="66"/>
        <v>1100</v>
      </c>
      <c r="M205" s="22">
        <f t="shared" si="66"/>
        <v>2100</v>
      </c>
    </row>
    <row r="206" spans="1:13" ht="72" customHeight="1">
      <c r="A206" s="17"/>
      <c r="B206" s="41" t="s">
        <v>246</v>
      </c>
      <c r="C206" s="29" t="s">
        <v>171</v>
      </c>
      <c r="D206" s="29" t="s">
        <v>24</v>
      </c>
      <c r="E206" s="30" t="s">
        <v>247</v>
      </c>
      <c r="F206" s="29" t="s">
        <v>27</v>
      </c>
      <c r="G206" s="22">
        <v>1000</v>
      </c>
      <c r="H206" s="22">
        <v>0</v>
      </c>
      <c r="I206" s="22">
        <v>1000</v>
      </c>
      <c r="J206" s="22">
        <v>0</v>
      </c>
      <c r="K206" s="53">
        <v>1000</v>
      </c>
      <c r="L206" s="53">
        <f>300+800</f>
        <v>1100</v>
      </c>
      <c r="M206" s="22">
        <f>L206+1000</f>
        <v>2100</v>
      </c>
    </row>
    <row r="207" spans="1:13" ht="38.25" customHeight="1">
      <c r="A207" s="17"/>
      <c r="B207" s="32" t="s">
        <v>364</v>
      </c>
      <c r="C207" s="29" t="s">
        <v>171</v>
      </c>
      <c r="D207" s="29" t="s">
        <v>24</v>
      </c>
      <c r="E207" s="30" t="s">
        <v>248</v>
      </c>
      <c r="F207" s="29"/>
      <c r="G207" s="22">
        <f aca="true" t="shared" si="67" ref="G207:M207">G208</f>
        <v>300</v>
      </c>
      <c r="H207" s="22">
        <f t="shared" si="67"/>
        <v>0</v>
      </c>
      <c r="I207" s="22">
        <f t="shared" si="67"/>
        <v>300</v>
      </c>
      <c r="J207" s="22">
        <f t="shared" si="67"/>
        <v>0</v>
      </c>
      <c r="K207" s="53">
        <f t="shared" si="67"/>
        <v>300</v>
      </c>
      <c r="L207" s="53">
        <f t="shared" si="67"/>
        <v>1000</v>
      </c>
      <c r="M207" s="22">
        <f t="shared" si="67"/>
        <v>1300</v>
      </c>
    </row>
    <row r="208" spans="1:13" ht="63" customHeight="1">
      <c r="A208" s="17"/>
      <c r="B208" s="32" t="s">
        <v>249</v>
      </c>
      <c r="C208" s="29" t="s">
        <v>171</v>
      </c>
      <c r="D208" s="29" t="s">
        <v>24</v>
      </c>
      <c r="E208" s="30" t="s">
        <v>250</v>
      </c>
      <c r="F208" s="29" t="s">
        <v>27</v>
      </c>
      <c r="G208" s="22">
        <v>300</v>
      </c>
      <c r="H208" s="22">
        <v>0</v>
      </c>
      <c r="I208" s="22">
        <v>300</v>
      </c>
      <c r="J208" s="22">
        <v>0</v>
      </c>
      <c r="K208" s="53">
        <v>300</v>
      </c>
      <c r="L208" s="53">
        <f>600+400</f>
        <v>1000</v>
      </c>
      <c r="M208" s="22">
        <f>300+L208</f>
        <v>1300</v>
      </c>
    </row>
    <row r="209" spans="1:13" ht="37.5" customHeight="1" hidden="1">
      <c r="A209" s="17"/>
      <c r="B209" s="131" t="s">
        <v>251</v>
      </c>
      <c r="C209" s="29" t="s">
        <v>171</v>
      </c>
      <c r="D209" s="29" t="s">
        <v>24</v>
      </c>
      <c r="E209" s="30" t="s">
        <v>221</v>
      </c>
      <c r="F209" s="29" t="s">
        <v>27</v>
      </c>
      <c r="G209" s="22">
        <v>0</v>
      </c>
      <c r="H209" s="22">
        <v>0</v>
      </c>
      <c r="I209" s="22">
        <v>0</v>
      </c>
      <c r="J209" s="22">
        <f>J210</f>
        <v>0</v>
      </c>
      <c r="K209" s="53">
        <f>I209+J209</f>
        <v>0</v>
      </c>
      <c r="L209" s="53">
        <f>L210</f>
        <v>0</v>
      </c>
      <c r="M209" s="53">
        <f>K209+L209</f>
        <v>0</v>
      </c>
    </row>
    <row r="210" spans="1:13" ht="4.5" customHeight="1" hidden="1">
      <c r="A210" s="17"/>
      <c r="B210" s="132" t="s">
        <v>252</v>
      </c>
      <c r="C210" s="29" t="s">
        <v>171</v>
      </c>
      <c r="D210" s="29" t="s">
        <v>24</v>
      </c>
      <c r="E210" s="64" t="s">
        <v>253</v>
      </c>
      <c r="F210" s="29" t="s">
        <v>27</v>
      </c>
      <c r="G210" s="22">
        <v>0</v>
      </c>
      <c r="H210" s="22">
        <v>0</v>
      </c>
      <c r="I210" s="22">
        <v>0</v>
      </c>
      <c r="J210" s="22">
        <v>0</v>
      </c>
      <c r="K210" s="53">
        <f>I210+J210</f>
        <v>0</v>
      </c>
      <c r="L210" s="53">
        <v>0</v>
      </c>
      <c r="M210" s="53">
        <f>K210+L210</f>
        <v>0</v>
      </c>
    </row>
    <row r="211" spans="1:13" ht="68.25" customHeight="1">
      <c r="A211" s="17"/>
      <c r="B211" s="75" t="s">
        <v>254</v>
      </c>
      <c r="C211" s="94" t="s">
        <v>171</v>
      </c>
      <c r="D211" s="94" t="s">
        <v>24</v>
      </c>
      <c r="E211" s="95" t="s">
        <v>95</v>
      </c>
      <c r="F211" s="65"/>
      <c r="G211" s="10">
        <f>G212+G222</f>
        <v>6742.3</v>
      </c>
      <c r="H211" s="10">
        <f>H212+H222</f>
        <v>173.2</v>
      </c>
      <c r="I211" s="10">
        <f>I212+I222+I217+I229</f>
        <v>6915.5</v>
      </c>
      <c r="J211" s="10">
        <f>J212+J222+J217+J229+J225</f>
        <v>115000</v>
      </c>
      <c r="K211" s="52">
        <f>K212+K222+K217+K229+K225</f>
        <v>121915.5</v>
      </c>
      <c r="L211" s="52">
        <f>L212+L222+L217+L229+L225+L227</f>
        <v>-15087.727240000002</v>
      </c>
      <c r="M211" s="52">
        <f>M212+M222+M217+M229+M225+M227</f>
        <v>108685.97276</v>
      </c>
    </row>
    <row r="212" spans="1:13" ht="54" customHeight="1">
      <c r="A212" s="17"/>
      <c r="B212" s="133" t="s">
        <v>365</v>
      </c>
      <c r="C212" s="65" t="s">
        <v>171</v>
      </c>
      <c r="D212" s="65" t="s">
        <v>24</v>
      </c>
      <c r="E212" s="64" t="s">
        <v>255</v>
      </c>
      <c r="F212" s="65"/>
      <c r="G212" s="22">
        <f>G213+G215</f>
        <v>5812.3</v>
      </c>
      <c r="H212" s="22">
        <f>H213+H215</f>
        <v>182.29999999999998</v>
      </c>
      <c r="I212" s="22">
        <f>I213+I215+I220</f>
        <v>5994.6</v>
      </c>
      <c r="J212" s="22">
        <f>J213+J215+J220</f>
        <v>80000</v>
      </c>
      <c r="K212" s="53">
        <f>K213+K215+K220</f>
        <v>85994.6</v>
      </c>
      <c r="L212" s="53">
        <f>L213+L215+L220</f>
        <v>0</v>
      </c>
      <c r="M212" s="22">
        <f>M213+M215+M220</f>
        <v>85994.6</v>
      </c>
    </row>
    <row r="213" spans="1:13" ht="133.5" customHeight="1">
      <c r="A213" s="17"/>
      <c r="B213" s="89" t="s">
        <v>256</v>
      </c>
      <c r="C213" s="65" t="s">
        <v>171</v>
      </c>
      <c r="D213" s="65" t="s">
        <v>24</v>
      </c>
      <c r="E213" s="64" t="s">
        <v>257</v>
      </c>
      <c r="F213" s="65" t="s">
        <v>27</v>
      </c>
      <c r="G213" s="22">
        <v>5439.2</v>
      </c>
      <c r="H213" s="22">
        <f>173.2+9.1</f>
        <v>182.29999999999998</v>
      </c>
      <c r="I213" s="22">
        <f>5439.2+H213</f>
        <v>5621.5</v>
      </c>
      <c r="J213" s="22">
        <v>0</v>
      </c>
      <c r="K213" s="53">
        <f aca="true" t="shared" si="68" ref="K213:K218">I213+J213</f>
        <v>5621.5</v>
      </c>
      <c r="L213" s="53">
        <v>0</v>
      </c>
      <c r="M213" s="22">
        <f aca="true" t="shared" si="69" ref="M213:M218">K213+L213</f>
        <v>5621.5</v>
      </c>
    </row>
    <row r="214" spans="1:13" ht="36" customHeight="1">
      <c r="A214" s="17"/>
      <c r="B214" s="202" t="s">
        <v>113</v>
      </c>
      <c r="C214" s="65" t="s">
        <v>171</v>
      </c>
      <c r="D214" s="65" t="s">
        <v>24</v>
      </c>
      <c r="E214" s="64" t="s">
        <v>257</v>
      </c>
      <c r="F214" s="65" t="s">
        <v>27</v>
      </c>
      <c r="G214" s="22">
        <v>272</v>
      </c>
      <c r="H214" s="22">
        <v>9.1</v>
      </c>
      <c r="I214" s="22">
        <f>272+9.1</f>
        <v>281.1</v>
      </c>
      <c r="J214" s="22">
        <v>0</v>
      </c>
      <c r="K214" s="53">
        <f t="shared" si="68"/>
        <v>281.1</v>
      </c>
      <c r="L214" s="53">
        <v>0</v>
      </c>
      <c r="M214" s="22">
        <f t="shared" si="69"/>
        <v>281.1</v>
      </c>
    </row>
    <row r="215" spans="1:13" ht="129" customHeight="1">
      <c r="A215" s="17"/>
      <c r="B215" s="169" t="s">
        <v>256</v>
      </c>
      <c r="C215" s="90" t="s">
        <v>171</v>
      </c>
      <c r="D215" s="90" t="s">
        <v>24</v>
      </c>
      <c r="E215" s="170" t="s">
        <v>258</v>
      </c>
      <c r="F215" s="90" t="s">
        <v>27</v>
      </c>
      <c r="G215" s="98">
        <v>373.1</v>
      </c>
      <c r="H215" s="98">
        <v>0</v>
      </c>
      <c r="I215" s="98">
        <v>373.1</v>
      </c>
      <c r="J215" s="98">
        <v>0</v>
      </c>
      <c r="K215" s="155">
        <f t="shared" si="68"/>
        <v>373.1</v>
      </c>
      <c r="L215" s="155">
        <v>0</v>
      </c>
      <c r="M215" s="98">
        <f t="shared" si="69"/>
        <v>373.1</v>
      </c>
    </row>
    <row r="216" spans="1:13" ht="33.75" customHeight="1">
      <c r="A216" s="168"/>
      <c r="B216" s="203" t="s">
        <v>113</v>
      </c>
      <c r="C216" s="175" t="s">
        <v>171</v>
      </c>
      <c r="D216" s="175" t="s">
        <v>24</v>
      </c>
      <c r="E216" s="176" t="s">
        <v>258</v>
      </c>
      <c r="F216" s="175" t="s">
        <v>27</v>
      </c>
      <c r="G216" s="177">
        <v>18.7</v>
      </c>
      <c r="H216" s="177">
        <v>0</v>
      </c>
      <c r="I216" s="177">
        <v>18.7</v>
      </c>
      <c r="J216" s="177">
        <v>0</v>
      </c>
      <c r="K216" s="178">
        <f t="shared" si="68"/>
        <v>18.7</v>
      </c>
      <c r="L216" s="178">
        <v>0</v>
      </c>
      <c r="M216" s="177">
        <f t="shared" si="69"/>
        <v>18.7</v>
      </c>
    </row>
    <row r="217" spans="1:13" ht="48" customHeight="1" hidden="1">
      <c r="A217" s="168"/>
      <c r="B217" s="186" t="s">
        <v>259</v>
      </c>
      <c r="C217" s="175" t="s">
        <v>171</v>
      </c>
      <c r="D217" s="175" t="s">
        <v>24</v>
      </c>
      <c r="E217" s="176" t="s">
        <v>260</v>
      </c>
      <c r="F217" s="175" t="s">
        <v>27</v>
      </c>
      <c r="G217" s="177">
        <v>0</v>
      </c>
      <c r="H217" s="177">
        <v>0</v>
      </c>
      <c r="I217" s="177">
        <v>0</v>
      </c>
      <c r="J217" s="177">
        <v>0</v>
      </c>
      <c r="K217" s="178">
        <f t="shared" si="68"/>
        <v>0</v>
      </c>
      <c r="L217" s="178">
        <v>0</v>
      </c>
      <c r="M217" s="178">
        <f t="shared" si="69"/>
        <v>0</v>
      </c>
    </row>
    <row r="218" spans="1:13" ht="27.75" customHeight="1" hidden="1">
      <c r="A218" s="168"/>
      <c r="B218" s="185" t="s">
        <v>113</v>
      </c>
      <c r="C218" s="175" t="s">
        <v>171</v>
      </c>
      <c r="D218" s="175" t="s">
        <v>24</v>
      </c>
      <c r="E218" s="187" t="s">
        <v>261</v>
      </c>
      <c r="F218" s="175" t="s">
        <v>27</v>
      </c>
      <c r="G218" s="177">
        <v>0</v>
      </c>
      <c r="H218" s="177">
        <v>0</v>
      </c>
      <c r="I218" s="177">
        <v>0</v>
      </c>
      <c r="J218" s="188">
        <v>0</v>
      </c>
      <c r="K218" s="189">
        <f t="shared" si="68"/>
        <v>0</v>
      </c>
      <c r="L218" s="189">
        <v>0</v>
      </c>
      <c r="M218" s="189">
        <f t="shared" si="69"/>
        <v>0</v>
      </c>
    </row>
    <row r="219" spans="1:13" ht="27.75" customHeight="1" hidden="1">
      <c r="A219" s="168"/>
      <c r="B219" s="185"/>
      <c r="C219" s="175"/>
      <c r="D219" s="175"/>
      <c r="E219" s="187"/>
      <c r="F219" s="175"/>
      <c r="G219" s="177"/>
      <c r="H219" s="177"/>
      <c r="I219" s="177"/>
      <c r="J219" s="188"/>
      <c r="K219" s="189"/>
      <c r="L219" s="189"/>
      <c r="M219" s="189"/>
    </row>
    <row r="220" spans="1:13" ht="130.5" customHeight="1">
      <c r="A220" s="168"/>
      <c r="B220" s="190" t="s">
        <v>355</v>
      </c>
      <c r="C220" s="175" t="s">
        <v>171</v>
      </c>
      <c r="D220" s="175" t="s">
        <v>24</v>
      </c>
      <c r="E220" s="176" t="s">
        <v>262</v>
      </c>
      <c r="F220" s="175" t="s">
        <v>27</v>
      </c>
      <c r="G220" s="177">
        <v>0</v>
      </c>
      <c r="H220" s="177">
        <v>0</v>
      </c>
      <c r="I220" s="177">
        <v>0</v>
      </c>
      <c r="J220" s="177">
        <v>80000</v>
      </c>
      <c r="K220" s="178">
        <f>I220+J220</f>
        <v>80000</v>
      </c>
      <c r="L220" s="178">
        <v>0</v>
      </c>
      <c r="M220" s="177">
        <f>K220+L220</f>
        <v>80000</v>
      </c>
    </row>
    <row r="221" spans="1:13" ht="27.75" customHeight="1" hidden="1">
      <c r="A221" s="17"/>
      <c r="B221" s="182"/>
      <c r="C221" s="173" t="s">
        <v>171</v>
      </c>
      <c r="D221" s="173" t="s">
        <v>24</v>
      </c>
      <c r="E221" s="114" t="s">
        <v>262</v>
      </c>
      <c r="F221" s="173"/>
      <c r="G221" s="126"/>
      <c r="H221" s="126"/>
      <c r="I221" s="126"/>
      <c r="J221" s="183"/>
      <c r="K221" s="184"/>
      <c r="L221" s="184"/>
      <c r="M221" s="184"/>
    </row>
    <row r="222" spans="1:13" ht="50.25" customHeight="1">
      <c r="A222" s="17"/>
      <c r="B222" s="169" t="s">
        <v>263</v>
      </c>
      <c r="C222" s="90" t="s">
        <v>171</v>
      </c>
      <c r="D222" s="90" t="s">
        <v>24</v>
      </c>
      <c r="E222" s="170" t="s">
        <v>264</v>
      </c>
      <c r="F222" s="90"/>
      <c r="G222" s="98">
        <f>G223</f>
        <v>930</v>
      </c>
      <c r="H222" s="98">
        <f>H223</f>
        <v>-9.1</v>
      </c>
      <c r="I222" s="98">
        <f>I223+I228</f>
        <v>920.9</v>
      </c>
      <c r="J222" s="98">
        <f>J223</f>
        <v>0</v>
      </c>
      <c r="K222" s="155">
        <f>I222+J222</f>
        <v>920.9</v>
      </c>
      <c r="L222" s="171">
        <f>L223+L224</f>
        <v>2542.38215</v>
      </c>
      <c r="M222" s="155">
        <f>K222+L222</f>
        <v>3463.28215</v>
      </c>
    </row>
    <row r="223" spans="1:13" ht="116.25" customHeight="1">
      <c r="A223" s="168"/>
      <c r="B223" s="174" t="s">
        <v>265</v>
      </c>
      <c r="C223" s="175" t="s">
        <v>171</v>
      </c>
      <c r="D223" s="175" t="s">
        <v>24</v>
      </c>
      <c r="E223" s="176" t="s">
        <v>266</v>
      </c>
      <c r="F223" s="175" t="s">
        <v>27</v>
      </c>
      <c r="G223" s="177">
        <v>930</v>
      </c>
      <c r="H223" s="177">
        <v>-9.1</v>
      </c>
      <c r="I223" s="177">
        <f>930+H223</f>
        <v>920.9</v>
      </c>
      <c r="J223" s="177">
        <v>0</v>
      </c>
      <c r="K223" s="178">
        <f>I223+J223</f>
        <v>920.9</v>
      </c>
      <c r="L223" s="179">
        <f>600+100+252.1-27.6+1610.13135</f>
        <v>2534.63135</v>
      </c>
      <c r="M223" s="178">
        <f>K223+L223</f>
        <v>3455.53135</v>
      </c>
    </row>
    <row r="224" spans="1:13" ht="102" customHeight="1">
      <c r="A224" s="168"/>
      <c r="B224" s="174" t="s">
        <v>342</v>
      </c>
      <c r="C224" s="175" t="s">
        <v>171</v>
      </c>
      <c r="D224" s="175" t="s">
        <v>24</v>
      </c>
      <c r="E224" s="176" t="s">
        <v>341</v>
      </c>
      <c r="F224" s="175" t="s">
        <v>39</v>
      </c>
      <c r="G224" s="177">
        <v>0</v>
      </c>
      <c r="H224" s="177">
        <v>0</v>
      </c>
      <c r="I224" s="177">
        <v>0</v>
      </c>
      <c r="J224" s="177">
        <v>0</v>
      </c>
      <c r="K224" s="178">
        <v>0</v>
      </c>
      <c r="L224" s="178">
        <v>7.7508</v>
      </c>
      <c r="M224" s="178">
        <f>K224+L224</f>
        <v>7.7508</v>
      </c>
    </row>
    <row r="225" spans="1:13" ht="52.5" customHeight="1">
      <c r="A225" s="168"/>
      <c r="B225" s="180" t="s">
        <v>356</v>
      </c>
      <c r="C225" s="175" t="s">
        <v>171</v>
      </c>
      <c r="D225" s="175" t="s">
        <v>24</v>
      </c>
      <c r="E225" s="176" t="s">
        <v>372</v>
      </c>
      <c r="F225" s="175"/>
      <c r="G225" s="177">
        <v>0</v>
      </c>
      <c r="H225" s="177">
        <v>0</v>
      </c>
      <c r="I225" s="177">
        <v>0</v>
      </c>
      <c r="J225" s="177">
        <f>J226</f>
        <v>35000</v>
      </c>
      <c r="K225" s="178">
        <f>K226</f>
        <v>35000</v>
      </c>
      <c r="L225" s="178">
        <f>L226</f>
        <v>-15815.25804</v>
      </c>
      <c r="M225" s="178">
        <f>M226</f>
        <v>19184.74196</v>
      </c>
    </row>
    <row r="226" spans="1:13" ht="69" customHeight="1">
      <c r="A226" s="168"/>
      <c r="B226" s="181" t="s">
        <v>252</v>
      </c>
      <c r="C226" s="175" t="s">
        <v>171</v>
      </c>
      <c r="D226" s="175" t="s">
        <v>24</v>
      </c>
      <c r="E226" s="176" t="s">
        <v>267</v>
      </c>
      <c r="F226" s="175" t="s">
        <v>27</v>
      </c>
      <c r="G226" s="177">
        <v>0</v>
      </c>
      <c r="H226" s="177">
        <v>0</v>
      </c>
      <c r="I226" s="177">
        <v>0</v>
      </c>
      <c r="J226" s="177">
        <v>35000</v>
      </c>
      <c r="K226" s="178">
        <f>I226+J226</f>
        <v>35000</v>
      </c>
      <c r="L226" s="178">
        <f>-7564.9-400-1367.5-2431.6-4518.7+467.44196</f>
        <v>-15815.25804</v>
      </c>
      <c r="M226" s="178">
        <f>K226+L226</f>
        <v>19184.74196</v>
      </c>
    </row>
    <row r="227" spans="1:13" ht="54" customHeight="1">
      <c r="A227" s="168"/>
      <c r="B227" s="181" t="s">
        <v>352</v>
      </c>
      <c r="C227" s="175" t="s">
        <v>171</v>
      </c>
      <c r="D227" s="175" t="s">
        <v>24</v>
      </c>
      <c r="E227" s="176" t="s">
        <v>353</v>
      </c>
      <c r="F227" s="175"/>
      <c r="G227" s="177"/>
      <c r="H227" s="177"/>
      <c r="I227" s="177"/>
      <c r="J227" s="177">
        <f>J228</f>
        <v>1858.2</v>
      </c>
      <c r="K227" s="178">
        <f>K228</f>
        <v>1858.2</v>
      </c>
      <c r="L227" s="178">
        <f>L228</f>
        <v>-1814.8513500000001</v>
      </c>
      <c r="M227" s="178">
        <f>M228</f>
        <v>43.34864999999991</v>
      </c>
    </row>
    <row r="228" spans="1:13" ht="100.5" customHeight="1">
      <c r="A228" s="168"/>
      <c r="B228" s="174" t="s">
        <v>268</v>
      </c>
      <c r="C228" s="175" t="s">
        <v>171</v>
      </c>
      <c r="D228" s="175" t="s">
        <v>24</v>
      </c>
      <c r="E228" s="176" t="s">
        <v>269</v>
      </c>
      <c r="F228" s="175" t="s">
        <v>27</v>
      </c>
      <c r="G228" s="177">
        <v>0</v>
      </c>
      <c r="H228" s="177">
        <v>0</v>
      </c>
      <c r="I228" s="177">
        <v>0</v>
      </c>
      <c r="J228" s="177">
        <v>1858.2</v>
      </c>
      <c r="K228" s="178">
        <f>I228+J228</f>
        <v>1858.2</v>
      </c>
      <c r="L228" s="178">
        <f>-7.7508-600-1250.42055+15.72+27.6</f>
        <v>-1814.8513500000001</v>
      </c>
      <c r="M228" s="178">
        <f>K228+L228</f>
        <v>43.34864999999991</v>
      </c>
    </row>
    <row r="229" spans="1:13" ht="29.25" customHeight="1" hidden="1">
      <c r="A229" s="17"/>
      <c r="B229" s="172" t="s">
        <v>251</v>
      </c>
      <c r="C229" s="173" t="s">
        <v>171</v>
      </c>
      <c r="D229" s="173" t="s">
        <v>24</v>
      </c>
      <c r="E229" s="114" t="s">
        <v>267</v>
      </c>
      <c r="F229" s="173"/>
      <c r="G229" s="126">
        <v>0</v>
      </c>
      <c r="H229" s="126">
        <v>0</v>
      </c>
      <c r="I229" s="126">
        <v>0</v>
      </c>
      <c r="J229" s="126">
        <f>J230</f>
        <v>0</v>
      </c>
      <c r="K229" s="157">
        <f>K230</f>
        <v>0</v>
      </c>
      <c r="L229" s="157">
        <f>L230</f>
        <v>0</v>
      </c>
      <c r="M229" s="157">
        <f>M230</f>
        <v>0</v>
      </c>
    </row>
    <row r="230" spans="1:13" ht="36" customHeight="1" hidden="1">
      <c r="A230" s="17"/>
      <c r="B230" s="132" t="s">
        <v>252</v>
      </c>
      <c r="C230" s="65"/>
      <c r="D230" s="65"/>
      <c r="E230" s="64" t="s">
        <v>267</v>
      </c>
      <c r="F230" s="65" t="s">
        <v>27</v>
      </c>
      <c r="G230" s="22">
        <v>0</v>
      </c>
      <c r="H230" s="22">
        <v>0</v>
      </c>
      <c r="I230" s="22">
        <v>0</v>
      </c>
      <c r="J230" s="22">
        <v>0</v>
      </c>
      <c r="K230" s="53">
        <f>I230+J230</f>
        <v>0</v>
      </c>
      <c r="L230" s="53">
        <v>0</v>
      </c>
      <c r="M230" s="53">
        <f>K230+L230</f>
        <v>0</v>
      </c>
    </row>
    <row r="231" spans="1:13" ht="36" customHeight="1" hidden="1">
      <c r="A231" s="17"/>
      <c r="B231" s="132"/>
      <c r="C231" s="65"/>
      <c r="D231" s="65"/>
      <c r="E231" s="64"/>
      <c r="F231" s="65"/>
      <c r="G231" s="22"/>
      <c r="H231" s="22"/>
      <c r="I231" s="22"/>
      <c r="J231" s="22"/>
      <c r="K231" s="53"/>
      <c r="L231" s="53"/>
      <c r="M231" s="53"/>
    </row>
    <row r="232" spans="1:13" ht="36" customHeight="1" hidden="1">
      <c r="A232" s="17"/>
      <c r="B232" s="132"/>
      <c r="C232" s="65"/>
      <c r="D232" s="65"/>
      <c r="E232" s="64"/>
      <c r="F232" s="65"/>
      <c r="G232" s="22"/>
      <c r="H232" s="22"/>
      <c r="I232" s="22"/>
      <c r="J232" s="22"/>
      <c r="K232" s="53"/>
      <c r="L232" s="53"/>
      <c r="M232" s="53"/>
    </row>
    <row r="233" spans="1:13" ht="36" customHeight="1" hidden="1">
      <c r="A233" s="17"/>
      <c r="B233" s="132"/>
      <c r="C233" s="65"/>
      <c r="D233" s="65"/>
      <c r="E233" s="64"/>
      <c r="F233" s="65"/>
      <c r="G233" s="22"/>
      <c r="H233" s="22"/>
      <c r="I233" s="22"/>
      <c r="J233" s="22"/>
      <c r="K233" s="53"/>
      <c r="L233" s="53"/>
      <c r="M233" s="53"/>
    </row>
    <row r="234" spans="1:13" ht="33" customHeight="1" hidden="1">
      <c r="A234" s="17"/>
      <c r="B234" s="134" t="s">
        <v>16</v>
      </c>
      <c r="C234" s="29" t="s">
        <v>171</v>
      </c>
      <c r="D234" s="29" t="s">
        <v>24</v>
      </c>
      <c r="E234" s="30" t="s">
        <v>31</v>
      </c>
      <c r="F234" s="29"/>
      <c r="G234" s="22">
        <v>0</v>
      </c>
      <c r="H234" s="22">
        <f aca="true" t="shared" si="70" ref="H234:J235">H235</f>
        <v>3660</v>
      </c>
      <c r="I234" s="22">
        <f t="shared" si="70"/>
        <v>3660</v>
      </c>
      <c r="J234" s="22">
        <f t="shared" si="70"/>
        <v>-3660</v>
      </c>
      <c r="K234" s="53">
        <f>I234+J234</f>
        <v>0</v>
      </c>
      <c r="L234" s="53">
        <f>L235</f>
        <v>0</v>
      </c>
      <c r="M234" s="53">
        <f>K234+L234</f>
        <v>0</v>
      </c>
    </row>
    <row r="235" spans="1:13" ht="30" customHeight="1" hidden="1">
      <c r="A235" s="17"/>
      <c r="B235" s="134" t="s">
        <v>18</v>
      </c>
      <c r="C235" s="29" t="s">
        <v>171</v>
      </c>
      <c r="D235" s="29" t="s">
        <v>24</v>
      </c>
      <c r="E235" s="30" t="s">
        <v>32</v>
      </c>
      <c r="F235" s="29"/>
      <c r="G235" s="22">
        <v>0</v>
      </c>
      <c r="H235" s="22">
        <f t="shared" si="70"/>
        <v>3660</v>
      </c>
      <c r="I235" s="22">
        <f t="shared" si="70"/>
        <v>3660</v>
      </c>
      <c r="J235" s="22">
        <f t="shared" si="70"/>
        <v>-3660</v>
      </c>
      <c r="K235" s="53">
        <f>K236</f>
        <v>0</v>
      </c>
      <c r="L235" s="53">
        <f>L236</f>
        <v>0</v>
      </c>
      <c r="M235" s="53">
        <f>M236</f>
        <v>0</v>
      </c>
    </row>
    <row r="236" spans="1:13" ht="57.75" customHeight="1" hidden="1">
      <c r="A236" s="17"/>
      <c r="B236" s="134" t="s">
        <v>270</v>
      </c>
      <c r="C236" s="65" t="s">
        <v>171</v>
      </c>
      <c r="D236" s="65" t="s">
        <v>24</v>
      </c>
      <c r="E236" s="91" t="s">
        <v>271</v>
      </c>
      <c r="F236" s="65" t="s">
        <v>184</v>
      </c>
      <c r="G236" s="22">
        <v>0</v>
      </c>
      <c r="H236" s="22">
        <v>3660</v>
      </c>
      <c r="I236" s="22">
        <f>+H236</f>
        <v>3660</v>
      </c>
      <c r="J236" s="22">
        <f>-1801.8-1858.2</f>
        <v>-3660</v>
      </c>
      <c r="K236" s="53">
        <f>I236+J236</f>
        <v>0</v>
      </c>
      <c r="L236" s="53">
        <v>0</v>
      </c>
      <c r="M236" s="53">
        <f>K236+L236</f>
        <v>0</v>
      </c>
    </row>
    <row r="237" spans="1:13" ht="47.25">
      <c r="A237" s="17"/>
      <c r="B237" s="13" t="s">
        <v>272</v>
      </c>
      <c r="C237" s="39" t="s">
        <v>171</v>
      </c>
      <c r="D237" s="39" t="s">
        <v>171</v>
      </c>
      <c r="E237" s="40"/>
      <c r="F237" s="39"/>
      <c r="G237" s="10">
        <f aca="true" t="shared" si="71" ref="G237:K239">G238</f>
        <v>3195.6</v>
      </c>
      <c r="H237" s="10">
        <f t="shared" si="71"/>
        <v>0</v>
      </c>
      <c r="I237" s="10">
        <f t="shared" si="71"/>
        <v>3195.6</v>
      </c>
      <c r="J237" s="10">
        <f t="shared" si="71"/>
        <v>0</v>
      </c>
      <c r="K237" s="52">
        <f t="shared" si="71"/>
        <v>3195.6</v>
      </c>
      <c r="L237" s="52">
        <f aca="true" t="shared" si="72" ref="L237:M239">L238</f>
        <v>135.5</v>
      </c>
      <c r="M237" s="10">
        <f t="shared" si="72"/>
        <v>3331.1</v>
      </c>
    </row>
    <row r="238" spans="1:13" ht="118.5" customHeight="1">
      <c r="A238" s="17"/>
      <c r="B238" s="41" t="s">
        <v>56</v>
      </c>
      <c r="C238" s="29" t="s">
        <v>171</v>
      </c>
      <c r="D238" s="29" t="s">
        <v>171</v>
      </c>
      <c r="E238" s="30" t="s">
        <v>15</v>
      </c>
      <c r="F238" s="29"/>
      <c r="G238" s="22">
        <f t="shared" si="71"/>
        <v>3195.6</v>
      </c>
      <c r="H238" s="22">
        <f t="shared" si="71"/>
        <v>0</v>
      </c>
      <c r="I238" s="22">
        <f t="shared" si="71"/>
        <v>3195.6</v>
      </c>
      <c r="J238" s="22">
        <f t="shared" si="71"/>
        <v>0</v>
      </c>
      <c r="K238" s="53">
        <f t="shared" si="71"/>
        <v>3195.6</v>
      </c>
      <c r="L238" s="53">
        <f t="shared" si="72"/>
        <v>135.5</v>
      </c>
      <c r="M238" s="22">
        <f t="shared" si="72"/>
        <v>3331.1</v>
      </c>
    </row>
    <row r="239" spans="1:13" ht="41.25" customHeight="1">
      <c r="A239" s="17"/>
      <c r="B239" s="32" t="s">
        <v>161</v>
      </c>
      <c r="C239" s="29" t="s">
        <v>171</v>
      </c>
      <c r="D239" s="29" t="s">
        <v>171</v>
      </c>
      <c r="E239" s="30" t="s">
        <v>58</v>
      </c>
      <c r="F239" s="29"/>
      <c r="G239" s="22">
        <f t="shared" si="71"/>
        <v>3195.6</v>
      </c>
      <c r="H239" s="22">
        <f t="shared" si="71"/>
        <v>0</v>
      </c>
      <c r="I239" s="22">
        <f t="shared" si="71"/>
        <v>3195.6</v>
      </c>
      <c r="J239" s="22">
        <f t="shared" si="71"/>
        <v>0</v>
      </c>
      <c r="K239" s="53">
        <f t="shared" si="71"/>
        <v>3195.6</v>
      </c>
      <c r="L239" s="53">
        <f t="shared" si="72"/>
        <v>135.5</v>
      </c>
      <c r="M239" s="22">
        <f t="shared" si="72"/>
        <v>3331.1</v>
      </c>
    </row>
    <row r="240" spans="1:13" ht="178.5" customHeight="1">
      <c r="A240" s="17"/>
      <c r="B240" s="32" t="s">
        <v>59</v>
      </c>
      <c r="C240" s="29" t="s">
        <v>171</v>
      </c>
      <c r="D240" s="29" t="s">
        <v>171</v>
      </c>
      <c r="E240" s="30" t="s">
        <v>60</v>
      </c>
      <c r="F240" s="29" t="s">
        <v>22</v>
      </c>
      <c r="G240" s="22">
        <v>3195.6</v>
      </c>
      <c r="H240" s="22">
        <v>0</v>
      </c>
      <c r="I240" s="22">
        <v>3195.6</v>
      </c>
      <c r="J240" s="22">
        <v>0</v>
      </c>
      <c r="K240" s="53">
        <v>3195.6</v>
      </c>
      <c r="L240" s="53">
        <f>59+18+45+13.5</f>
        <v>135.5</v>
      </c>
      <c r="M240" s="22">
        <f>K240+L240</f>
        <v>3331.1</v>
      </c>
    </row>
    <row r="241" spans="1:13" ht="15.75">
      <c r="A241" s="17"/>
      <c r="B241" s="13" t="s">
        <v>273</v>
      </c>
      <c r="C241" s="39" t="s">
        <v>144</v>
      </c>
      <c r="D241" s="39"/>
      <c r="E241" s="30"/>
      <c r="F241" s="29"/>
      <c r="G241" s="10">
        <f aca="true" t="shared" si="73" ref="G241:M241">G242</f>
        <v>32227.6</v>
      </c>
      <c r="H241" s="10">
        <f t="shared" si="73"/>
        <v>0</v>
      </c>
      <c r="I241" s="10">
        <f t="shared" si="73"/>
        <v>32227.6</v>
      </c>
      <c r="J241" s="10">
        <f t="shared" si="73"/>
        <v>1024.2000000000007</v>
      </c>
      <c r="K241" s="52">
        <f t="shared" si="73"/>
        <v>33251.8</v>
      </c>
      <c r="L241" s="52">
        <f t="shared" si="73"/>
        <v>476</v>
      </c>
      <c r="M241" s="10">
        <f t="shared" si="73"/>
        <v>33727.8</v>
      </c>
    </row>
    <row r="242" spans="1:13" ht="24" customHeight="1">
      <c r="A242" s="17"/>
      <c r="B242" s="135" t="s">
        <v>274</v>
      </c>
      <c r="C242" s="39" t="s">
        <v>144</v>
      </c>
      <c r="D242" s="39" t="s">
        <v>13</v>
      </c>
      <c r="E242" s="40"/>
      <c r="F242" s="39"/>
      <c r="G242" s="10">
        <f aca="true" t="shared" si="74" ref="G242:M242">G243+G246+G257+G263</f>
        <v>32227.6</v>
      </c>
      <c r="H242" s="10">
        <f t="shared" si="74"/>
        <v>0</v>
      </c>
      <c r="I242" s="10">
        <f t="shared" si="74"/>
        <v>32227.6</v>
      </c>
      <c r="J242" s="10">
        <f t="shared" si="74"/>
        <v>1024.2000000000007</v>
      </c>
      <c r="K242" s="52">
        <f t="shared" si="74"/>
        <v>33251.8</v>
      </c>
      <c r="L242" s="52">
        <f t="shared" si="74"/>
        <v>476</v>
      </c>
      <c r="M242" s="10">
        <f t="shared" si="74"/>
        <v>33727.8</v>
      </c>
    </row>
    <row r="243" spans="1:13" ht="118.5" customHeight="1">
      <c r="A243" s="17"/>
      <c r="B243" s="13" t="s">
        <v>56</v>
      </c>
      <c r="C243" s="39" t="s">
        <v>144</v>
      </c>
      <c r="D243" s="39" t="s">
        <v>13</v>
      </c>
      <c r="E243" s="40" t="s">
        <v>15</v>
      </c>
      <c r="F243" s="39"/>
      <c r="G243" s="10">
        <f aca="true" t="shared" si="75" ref="G243:K244">G244</f>
        <v>3045.3</v>
      </c>
      <c r="H243" s="10">
        <f t="shared" si="75"/>
        <v>0</v>
      </c>
      <c r="I243" s="10">
        <f t="shared" si="75"/>
        <v>3045.3</v>
      </c>
      <c r="J243" s="10">
        <f t="shared" si="75"/>
        <v>0</v>
      </c>
      <c r="K243" s="52">
        <f t="shared" si="75"/>
        <v>3045.3</v>
      </c>
      <c r="L243" s="52">
        <f>L244</f>
        <v>0</v>
      </c>
      <c r="M243" s="10">
        <f>M244</f>
        <v>3045.3</v>
      </c>
    </row>
    <row r="244" spans="1:13" ht="36" customHeight="1">
      <c r="A244" s="17"/>
      <c r="B244" s="32" t="s">
        <v>161</v>
      </c>
      <c r="C244" s="29" t="s">
        <v>144</v>
      </c>
      <c r="D244" s="29" t="s">
        <v>13</v>
      </c>
      <c r="E244" s="30" t="s">
        <v>58</v>
      </c>
      <c r="F244" s="29"/>
      <c r="G244" s="22">
        <f t="shared" si="75"/>
        <v>3045.3</v>
      </c>
      <c r="H244" s="22">
        <f t="shared" si="75"/>
        <v>0</v>
      </c>
      <c r="I244" s="22">
        <f t="shared" si="75"/>
        <v>3045.3</v>
      </c>
      <c r="J244" s="22">
        <f t="shared" si="75"/>
        <v>0</v>
      </c>
      <c r="K244" s="53">
        <f t="shared" si="75"/>
        <v>3045.3</v>
      </c>
      <c r="L244" s="53">
        <f>L245</f>
        <v>0</v>
      </c>
      <c r="M244" s="22">
        <f>M245</f>
        <v>3045.3</v>
      </c>
    </row>
    <row r="245" spans="1:13" ht="176.25" customHeight="1">
      <c r="A245" s="17"/>
      <c r="B245" s="32" t="s">
        <v>59</v>
      </c>
      <c r="C245" s="29" t="s">
        <v>144</v>
      </c>
      <c r="D245" s="29" t="s">
        <v>13</v>
      </c>
      <c r="E245" s="30" t="s">
        <v>60</v>
      </c>
      <c r="F245" s="29" t="s">
        <v>22</v>
      </c>
      <c r="G245" s="22">
        <v>3045.3</v>
      </c>
      <c r="H245" s="22">
        <v>0</v>
      </c>
      <c r="I245" s="22">
        <v>3045.3</v>
      </c>
      <c r="J245" s="22">
        <v>0</v>
      </c>
      <c r="K245" s="53">
        <v>3045.3</v>
      </c>
      <c r="L245" s="53">
        <v>0</v>
      </c>
      <c r="M245" s="22">
        <v>3045.3</v>
      </c>
    </row>
    <row r="246" spans="1:13" ht="102" customHeight="1">
      <c r="A246" s="17"/>
      <c r="B246" s="136" t="s">
        <v>275</v>
      </c>
      <c r="C246" s="137" t="s">
        <v>144</v>
      </c>
      <c r="D246" s="39" t="s">
        <v>13</v>
      </c>
      <c r="E246" s="40" t="s">
        <v>276</v>
      </c>
      <c r="F246" s="39"/>
      <c r="G246" s="10">
        <f aca="true" t="shared" si="76" ref="G246:M246">G247+G249+G254</f>
        <v>15035.8</v>
      </c>
      <c r="H246" s="10">
        <f t="shared" si="76"/>
        <v>0</v>
      </c>
      <c r="I246" s="10">
        <f t="shared" si="76"/>
        <v>15035.8</v>
      </c>
      <c r="J246" s="10">
        <f t="shared" si="76"/>
        <v>0</v>
      </c>
      <c r="K246" s="52">
        <f t="shared" si="76"/>
        <v>15035.8</v>
      </c>
      <c r="L246" s="52">
        <f t="shared" si="76"/>
        <v>476</v>
      </c>
      <c r="M246" s="10">
        <f t="shared" si="76"/>
        <v>15511.8</v>
      </c>
    </row>
    <row r="247" spans="1:13" ht="55.5" customHeight="1">
      <c r="A247" s="17"/>
      <c r="B247" s="138" t="s">
        <v>366</v>
      </c>
      <c r="C247" s="76" t="s">
        <v>144</v>
      </c>
      <c r="D247" s="29" t="s">
        <v>13</v>
      </c>
      <c r="E247" s="30" t="s">
        <v>277</v>
      </c>
      <c r="F247" s="29"/>
      <c r="G247" s="22">
        <f aca="true" t="shared" si="77" ref="G247:M247">G248</f>
        <v>130</v>
      </c>
      <c r="H247" s="22">
        <f t="shared" si="77"/>
        <v>0</v>
      </c>
      <c r="I247" s="22">
        <f t="shared" si="77"/>
        <v>130</v>
      </c>
      <c r="J247" s="22">
        <f t="shared" si="77"/>
        <v>0</v>
      </c>
      <c r="K247" s="53">
        <f t="shared" si="77"/>
        <v>130</v>
      </c>
      <c r="L247" s="53">
        <f t="shared" si="77"/>
        <v>0</v>
      </c>
      <c r="M247" s="22">
        <f t="shared" si="77"/>
        <v>130</v>
      </c>
    </row>
    <row r="248" spans="1:13" ht="99" customHeight="1">
      <c r="A248" s="17"/>
      <c r="B248" s="138" t="s">
        <v>278</v>
      </c>
      <c r="C248" s="76" t="s">
        <v>144</v>
      </c>
      <c r="D248" s="29" t="s">
        <v>13</v>
      </c>
      <c r="E248" s="30" t="s">
        <v>279</v>
      </c>
      <c r="F248" s="29" t="s">
        <v>280</v>
      </c>
      <c r="G248" s="22">
        <v>130</v>
      </c>
      <c r="H248" s="22">
        <v>0</v>
      </c>
      <c r="I248" s="22">
        <v>130</v>
      </c>
      <c r="J248" s="22">
        <v>0</v>
      </c>
      <c r="K248" s="53">
        <v>130</v>
      </c>
      <c r="L248" s="53">
        <v>0</v>
      </c>
      <c r="M248" s="22">
        <v>130</v>
      </c>
    </row>
    <row r="249" spans="1:13" ht="40.5" customHeight="1">
      <c r="A249" s="17"/>
      <c r="B249" s="41" t="s">
        <v>367</v>
      </c>
      <c r="C249" s="29" t="s">
        <v>144</v>
      </c>
      <c r="D249" s="29" t="s">
        <v>13</v>
      </c>
      <c r="E249" s="30" t="s">
        <v>281</v>
      </c>
      <c r="F249" s="29"/>
      <c r="G249" s="22">
        <f aca="true" t="shared" si="78" ref="G249:M249">G250+G251+G252</f>
        <v>14829.8</v>
      </c>
      <c r="H249" s="22">
        <f t="shared" si="78"/>
        <v>0</v>
      </c>
      <c r="I249" s="22">
        <f t="shared" si="78"/>
        <v>14829.8</v>
      </c>
      <c r="J249" s="22">
        <f t="shared" si="78"/>
        <v>0</v>
      </c>
      <c r="K249" s="53">
        <f t="shared" si="78"/>
        <v>14829.8</v>
      </c>
      <c r="L249" s="53">
        <f t="shared" si="78"/>
        <v>476</v>
      </c>
      <c r="M249" s="22">
        <f t="shared" si="78"/>
        <v>15305.8</v>
      </c>
    </row>
    <row r="250" spans="1:13" ht="102.75" customHeight="1">
      <c r="A250" s="17"/>
      <c r="B250" s="139" t="s">
        <v>368</v>
      </c>
      <c r="C250" s="29" t="s">
        <v>144</v>
      </c>
      <c r="D250" s="29" t="s">
        <v>13</v>
      </c>
      <c r="E250" s="30" t="s">
        <v>282</v>
      </c>
      <c r="F250" s="29" t="s">
        <v>280</v>
      </c>
      <c r="G250" s="22">
        <v>7626.6</v>
      </c>
      <c r="H250" s="22">
        <v>0</v>
      </c>
      <c r="I250" s="22">
        <v>7626.6</v>
      </c>
      <c r="J250" s="22">
        <v>0</v>
      </c>
      <c r="K250" s="53">
        <v>7626.6</v>
      </c>
      <c r="L250" s="53">
        <f>236+118.8+35.9</f>
        <v>390.7</v>
      </c>
      <c r="M250" s="22">
        <f>K250+L250</f>
        <v>8017.3</v>
      </c>
    </row>
    <row r="251" spans="1:13" ht="117" customHeight="1">
      <c r="A251" s="17"/>
      <c r="B251" s="140" t="s">
        <v>369</v>
      </c>
      <c r="C251" s="36" t="s">
        <v>144</v>
      </c>
      <c r="D251" s="36" t="s">
        <v>13</v>
      </c>
      <c r="E251" s="37" t="s">
        <v>283</v>
      </c>
      <c r="F251" s="36" t="s">
        <v>280</v>
      </c>
      <c r="G251" s="98">
        <v>2337.7</v>
      </c>
      <c r="H251" s="98">
        <v>0</v>
      </c>
      <c r="I251" s="98">
        <v>2337.7</v>
      </c>
      <c r="J251" s="98">
        <v>0</v>
      </c>
      <c r="K251" s="155">
        <v>2337.7</v>
      </c>
      <c r="L251" s="155">
        <f>66+14.8+4.5</f>
        <v>85.3</v>
      </c>
      <c r="M251" s="98">
        <f>K251+L251</f>
        <v>2423</v>
      </c>
    </row>
    <row r="252" spans="1:13" ht="176.25" customHeight="1">
      <c r="A252" s="17"/>
      <c r="B252" s="141" t="s">
        <v>284</v>
      </c>
      <c r="C252" s="29" t="s">
        <v>144</v>
      </c>
      <c r="D252" s="29" t="s">
        <v>13</v>
      </c>
      <c r="E252" s="30" t="s">
        <v>285</v>
      </c>
      <c r="F252" s="29" t="s">
        <v>280</v>
      </c>
      <c r="G252" s="22">
        <v>4865.5</v>
      </c>
      <c r="H252" s="22">
        <v>0</v>
      </c>
      <c r="I252" s="22">
        <v>4865.5</v>
      </c>
      <c r="J252" s="22">
        <v>0</v>
      </c>
      <c r="K252" s="53">
        <v>4865.5</v>
      </c>
      <c r="L252" s="53">
        <v>0</v>
      </c>
      <c r="M252" s="22">
        <v>4865.5</v>
      </c>
    </row>
    <row r="253" spans="1:13" ht="41.25" customHeight="1">
      <c r="A253" s="17"/>
      <c r="B253" s="200" t="s">
        <v>113</v>
      </c>
      <c r="C253" s="29" t="s">
        <v>144</v>
      </c>
      <c r="D253" s="29" t="s">
        <v>13</v>
      </c>
      <c r="E253" s="30" t="s">
        <v>285</v>
      </c>
      <c r="F253" s="29" t="s">
        <v>280</v>
      </c>
      <c r="G253" s="22">
        <v>973.1</v>
      </c>
      <c r="H253" s="22">
        <v>0</v>
      </c>
      <c r="I253" s="22">
        <v>973.1</v>
      </c>
      <c r="J253" s="22">
        <v>0</v>
      </c>
      <c r="K253" s="53">
        <v>973.1</v>
      </c>
      <c r="L253" s="53">
        <v>0</v>
      </c>
      <c r="M253" s="22">
        <v>973.1</v>
      </c>
    </row>
    <row r="254" spans="1:13" ht="70.5" customHeight="1">
      <c r="A254" s="17"/>
      <c r="B254" s="119" t="s">
        <v>370</v>
      </c>
      <c r="C254" s="65" t="s">
        <v>144</v>
      </c>
      <c r="D254" s="65" t="s">
        <v>13</v>
      </c>
      <c r="E254" s="64" t="s">
        <v>286</v>
      </c>
      <c r="F254" s="65"/>
      <c r="G254" s="22">
        <f aca="true" t="shared" si="79" ref="G254:M254">G255</f>
        <v>76</v>
      </c>
      <c r="H254" s="22">
        <f t="shared" si="79"/>
        <v>0</v>
      </c>
      <c r="I254" s="22">
        <f t="shared" si="79"/>
        <v>76</v>
      </c>
      <c r="J254" s="22">
        <f t="shared" si="79"/>
        <v>0</v>
      </c>
      <c r="K254" s="53">
        <f t="shared" si="79"/>
        <v>76</v>
      </c>
      <c r="L254" s="53">
        <f t="shared" si="79"/>
        <v>0</v>
      </c>
      <c r="M254" s="22">
        <f t="shared" si="79"/>
        <v>76</v>
      </c>
    </row>
    <row r="255" spans="1:13" ht="162.75" customHeight="1">
      <c r="A255" s="17"/>
      <c r="B255" s="119" t="s">
        <v>287</v>
      </c>
      <c r="C255" s="65" t="s">
        <v>144</v>
      </c>
      <c r="D255" s="65" t="s">
        <v>13</v>
      </c>
      <c r="E255" s="64" t="s">
        <v>288</v>
      </c>
      <c r="F255" s="65" t="s">
        <v>280</v>
      </c>
      <c r="G255" s="22">
        <v>76</v>
      </c>
      <c r="H255" s="22">
        <v>0</v>
      </c>
      <c r="I255" s="22">
        <v>76</v>
      </c>
      <c r="J255" s="22">
        <v>0</v>
      </c>
      <c r="K255" s="53">
        <v>76</v>
      </c>
      <c r="L255" s="53">
        <v>0</v>
      </c>
      <c r="M255" s="22">
        <v>76</v>
      </c>
    </row>
    <row r="256" spans="1:13" ht="39.75" customHeight="1">
      <c r="A256" s="17"/>
      <c r="B256" s="200" t="s">
        <v>113</v>
      </c>
      <c r="C256" s="65" t="s">
        <v>144</v>
      </c>
      <c r="D256" s="65" t="s">
        <v>13</v>
      </c>
      <c r="E256" s="64" t="s">
        <v>288</v>
      </c>
      <c r="F256" s="65" t="s">
        <v>280</v>
      </c>
      <c r="G256" s="22">
        <v>15</v>
      </c>
      <c r="H256" s="22">
        <v>0</v>
      </c>
      <c r="I256" s="22">
        <v>15</v>
      </c>
      <c r="J256" s="22">
        <v>0</v>
      </c>
      <c r="K256" s="53">
        <v>15</v>
      </c>
      <c r="L256" s="53">
        <v>0</v>
      </c>
      <c r="M256" s="22">
        <v>15</v>
      </c>
    </row>
    <row r="257" spans="1:13" ht="115.5" customHeight="1">
      <c r="A257" s="17"/>
      <c r="B257" s="54" t="s">
        <v>289</v>
      </c>
      <c r="C257" s="39" t="s">
        <v>144</v>
      </c>
      <c r="D257" s="39" t="s">
        <v>13</v>
      </c>
      <c r="E257" s="40" t="s">
        <v>290</v>
      </c>
      <c r="F257" s="29"/>
      <c r="G257" s="10">
        <f aca="true" t="shared" si="80" ref="G257:M257">G258</f>
        <v>14146.5</v>
      </c>
      <c r="H257" s="10">
        <f t="shared" si="80"/>
        <v>0</v>
      </c>
      <c r="I257" s="10">
        <f t="shared" si="80"/>
        <v>14146.5</v>
      </c>
      <c r="J257" s="10">
        <f t="shared" si="80"/>
        <v>1024.2000000000007</v>
      </c>
      <c r="K257" s="52">
        <f t="shared" si="80"/>
        <v>15170.7</v>
      </c>
      <c r="L257" s="52">
        <f t="shared" si="80"/>
        <v>0</v>
      </c>
      <c r="M257" s="10">
        <f t="shared" si="80"/>
        <v>15170.7</v>
      </c>
    </row>
    <row r="258" spans="1:13" ht="67.5" customHeight="1">
      <c r="A258" s="17"/>
      <c r="B258" s="32" t="s">
        <v>291</v>
      </c>
      <c r="C258" s="29" t="s">
        <v>144</v>
      </c>
      <c r="D258" s="29" t="s">
        <v>13</v>
      </c>
      <c r="E258" s="30" t="s">
        <v>292</v>
      </c>
      <c r="F258" s="29"/>
      <c r="G258" s="22">
        <f>G259</f>
        <v>14146.5</v>
      </c>
      <c r="H258" s="22">
        <f>H259</f>
        <v>0</v>
      </c>
      <c r="I258" s="22">
        <f>I259</f>
        <v>14146.5</v>
      </c>
      <c r="J258" s="22">
        <f>J259+J264</f>
        <v>1024.2000000000007</v>
      </c>
      <c r="K258" s="53">
        <f>I258+J258</f>
        <v>15170.7</v>
      </c>
      <c r="L258" s="53">
        <f>L259+L264</f>
        <v>0</v>
      </c>
      <c r="M258" s="22">
        <f>M259+M264</f>
        <v>15170.7</v>
      </c>
    </row>
    <row r="259" spans="1:13" ht="132" customHeight="1">
      <c r="A259" s="17"/>
      <c r="B259" s="27" t="s">
        <v>293</v>
      </c>
      <c r="C259" s="29" t="s">
        <v>144</v>
      </c>
      <c r="D259" s="29" t="s">
        <v>13</v>
      </c>
      <c r="E259" s="91" t="s">
        <v>294</v>
      </c>
      <c r="F259" s="29" t="s">
        <v>280</v>
      </c>
      <c r="G259" s="22">
        <v>14146.5</v>
      </c>
      <c r="H259" s="22">
        <v>0</v>
      </c>
      <c r="I259" s="22">
        <v>14146.5</v>
      </c>
      <c r="J259" s="22">
        <v>-13122.3</v>
      </c>
      <c r="K259" s="53">
        <f>14146.5+J259</f>
        <v>1024.2000000000007</v>
      </c>
      <c r="L259" s="53">
        <v>0</v>
      </c>
      <c r="M259" s="22">
        <f>K259+L259</f>
        <v>1024.2000000000007</v>
      </c>
    </row>
    <row r="260" spans="1:13" ht="31.5" customHeight="1">
      <c r="A260" s="17"/>
      <c r="B260" s="199" t="s">
        <v>113</v>
      </c>
      <c r="C260" s="142" t="s">
        <v>144</v>
      </c>
      <c r="D260" s="43" t="s">
        <v>13</v>
      </c>
      <c r="E260" s="143" t="s">
        <v>294</v>
      </c>
      <c r="F260" s="43" t="s">
        <v>280</v>
      </c>
      <c r="G260" s="126">
        <v>2829.3</v>
      </c>
      <c r="H260" s="126">
        <v>0</v>
      </c>
      <c r="I260" s="126">
        <v>2829.3</v>
      </c>
      <c r="J260" s="126">
        <v>-2624.4</v>
      </c>
      <c r="K260" s="157">
        <f>2829.3+J260</f>
        <v>204.9000000000001</v>
      </c>
      <c r="L260" s="157">
        <v>0</v>
      </c>
      <c r="M260" s="126">
        <f>K260+L260</f>
        <v>204.9000000000001</v>
      </c>
    </row>
    <row r="261" spans="1:13" ht="116.25" customHeight="1" hidden="1">
      <c r="A261" s="17"/>
      <c r="B261" s="144" t="s">
        <v>295</v>
      </c>
      <c r="C261" s="39" t="s">
        <v>144</v>
      </c>
      <c r="D261" s="39" t="s">
        <v>13</v>
      </c>
      <c r="E261" s="130" t="s">
        <v>296</v>
      </c>
      <c r="F261" s="39"/>
      <c r="G261" s="67">
        <f aca="true" t="shared" si="81" ref="G261:K262">G262</f>
        <v>0</v>
      </c>
      <c r="H261" s="67">
        <f t="shared" si="81"/>
        <v>0</v>
      </c>
      <c r="I261" s="67">
        <f t="shared" si="81"/>
        <v>0</v>
      </c>
      <c r="J261" s="67">
        <f t="shared" si="81"/>
        <v>0</v>
      </c>
      <c r="K261" s="52">
        <f t="shared" si="81"/>
        <v>0</v>
      </c>
      <c r="L261" s="52">
        <f>L262</f>
        <v>0</v>
      </c>
      <c r="M261" s="10">
        <f>M262</f>
        <v>0</v>
      </c>
    </row>
    <row r="262" spans="1:13" ht="116.25" customHeight="1" hidden="1">
      <c r="A262" s="17"/>
      <c r="B262" s="41" t="s">
        <v>297</v>
      </c>
      <c r="C262" s="29" t="s">
        <v>144</v>
      </c>
      <c r="D262" s="29" t="s">
        <v>13</v>
      </c>
      <c r="E262" s="91" t="s">
        <v>298</v>
      </c>
      <c r="F262" s="29"/>
      <c r="G262" s="73">
        <f t="shared" si="81"/>
        <v>0</v>
      </c>
      <c r="H262" s="73">
        <f t="shared" si="81"/>
        <v>0</v>
      </c>
      <c r="I262" s="73">
        <f t="shared" si="81"/>
        <v>0</v>
      </c>
      <c r="J262" s="73">
        <f t="shared" si="81"/>
        <v>0</v>
      </c>
      <c r="K262" s="53">
        <f t="shared" si="81"/>
        <v>0</v>
      </c>
      <c r="L262" s="53">
        <f>L263</f>
        <v>0</v>
      </c>
      <c r="M262" s="22">
        <f>M263</f>
        <v>0</v>
      </c>
    </row>
    <row r="263" spans="1:13" ht="116.25" customHeight="1" hidden="1">
      <c r="A263" s="17"/>
      <c r="B263" s="41" t="s">
        <v>299</v>
      </c>
      <c r="C263" s="29" t="s">
        <v>144</v>
      </c>
      <c r="D263" s="29" t="s">
        <v>13</v>
      </c>
      <c r="E263" s="91" t="s">
        <v>300</v>
      </c>
      <c r="F263" s="29" t="s">
        <v>280</v>
      </c>
      <c r="G263" s="73">
        <v>0</v>
      </c>
      <c r="H263" s="73">
        <v>0</v>
      </c>
      <c r="I263" s="73">
        <v>0</v>
      </c>
      <c r="J263" s="73">
        <v>0</v>
      </c>
      <c r="K263" s="53">
        <v>0</v>
      </c>
      <c r="L263" s="53">
        <v>0</v>
      </c>
      <c r="M263" s="22">
        <v>0</v>
      </c>
    </row>
    <row r="264" spans="1:13" ht="114.75" customHeight="1">
      <c r="A264" s="17"/>
      <c r="B264" s="27" t="s">
        <v>301</v>
      </c>
      <c r="C264" s="142" t="s">
        <v>144</v>
      </c>
      <c r="D264" s="43" t="s">
        <v>13</v>
      </c>
      <c r="E264" s="91" t="s">
        <v>302</v>
      </c>
      <c r="F264" s="29" t="s">
        <v>280</v>
      </c>
      <c r="G264" s="73">
        <v>0</v>
      </c>
      <c r="H264" s="73">
        <v>0</v>
      </c>
      <c r="I264" s="73">
        <v>0</v>
      </c>
      <c r="J264" s="73">
        <v>14146.5</v>
      </c>
      <c r="K264" s="53">
        <f>I264+J264</f>
        <v>14146.5</v>
      </c>
      <c r="L264" s="53">
        <v>0</v>
      </c>
      <c r="M264" s="22">
        <f>K264+L264</f>
        <v>14146.5</v>
      </c>
    </row>
    <row r="265" spans="1:13" ht="31.5" customHeight="1">
      <c r="A265" s="17"/>
      <c r="B265" s="199" t="s">
        <v>113</v>
      </c>
      <c r="C265" s="142" t="s">
        <v>144</v>
      </c>
      <c r="D265" s="43" t="s">
        <v>13</v>
      </c>
      <c r="E265" s="91" t="s">
        <v>302</v>
      </c>
      <c r="F265" s="29" t="s">
        <v>280</v>
      </c>
      <c r="G265" s="73">
        <v>0</v>
      </c>
      <c r="H265" s="73">
        <v>0</v>
      </c>
      <c r="I265" s="73">
        <v>0</v>
      </c>
      <c r="J265" s="73">
        <v>2829.3</v>
      </c>
      <c r="K265" s="53">
        <f>I265+J265</f>
        <v>2829.3</v>
      </c>
      <c r="L265" s="53">
        <v>0</v>
      </c>
      <c r="M265" s="22">
        <f>K265+L265</f>
        <v>2829.3</v>
      </c>
    </row>
    <row r="266" spans="1:13" ht="15" customHeight="1">
      <c r="A266" s="17"/>
      <c r="B266" s="13" t="s">
        <v>303</v>
      </c>
      <c r="C266" s="39" t="s">
        <v>84</v>
      </c>
      <c r="D266" s="39"/>
      <c r="E266" s="30"/>
      <c r="F266" s="29"/>
      <c r="G266" s="67">
        <f aca="true" t="shared" si="82" ref="G266:M266">G267+G271+G278</f>
        <v>2161.7</v>
      </c>
      <c r="H266" s="67">
        <f t="shared" si="82"/>
        <v>926.1</v>
      </c>
      <c r="I266" s="67">
        <f t="shared" si="82"/>
        <v>3087.7999999999997</v>
      </c>
      <c r="J266" s="67">
        <f t="shared" si="82"/>
        <v>0</v>
      </c>
      <c r="K266" s="52">
        <f t="shared" si="82"/>
        <v>3087.7999999999997</v>
      </c>
      <c r="L266" s="52">
        <f t="shared" si="82"/>
        <v>363.26462</v>
      </c>
      <c r="M266" s="52">
        <f t="shared" si="82"/>
        <v>3451.0646199999996</v>
      </c>
    </row>
    <row r="267" spans="1:13" ht="20.25" customHeight="1">
      <c r="A267" s="17"/>
      <c r="B267" s="13" t="s">
        <v>304</v>
      </c>
      <c r="C267" s="39" t="s">
        <v>84</v>
      </c>
      <c r="D267" s="39" t="s">
        <v>13</v>
      </c>
      <c r="E267" s="40"/>
      <c r="F267" s="39"/>
      <c r="G267" s="10">
        <f aca="true" t="shared" si="83" ref="G267:M267">G269</f>
        <v>917.3</v>
      </c>
      <c r="H267" s="10">
        <f t="shared" si="83"/>
        <v>0</v>
      </c>
      <c r="I267" s="10">
        <f t="shared" si="83"/>
        <v>917.3</v>
      </c>
      <c r="J267" s="10">
        <f t="shared" si="83"/>
        <v>0</v>
      </c>
      <c r="K267" s="52">
        <f t="shared" si="83"/>
        <v>917.3</v>
      </c>
      <c r="L267" s="52">
        <f t="shared" si="83"/>
        <v>35.18392</v>
      </c>
      <c r="M267" s="52">
        <f t="shared" si="83"/>
        <v>952.4839199999999</v>
      </c>
    </row>
    <row r="268" spans="1:13" ht="70.5" customHeight="1">
      <c r="A268" s="17"/>
      <c r="B268" s="13" t="s">
        <v>47</v>
      </c>
      <c r="C268" s="39" t="s">
        <v>84</v>
      </c>
      <c r="D268" s="39" t="s">
        <v>13</v>
      </c>
      <c r="E268" s="40" t="s">
        <v>13</v>
      </c>
      <c r="F268" s="29"/>
      <c r="G268" s="10">
        <f aca="true" t="shared" si="84" ref="G268:K269">G269</f>
        <v>917.3</v>
      </c>
      <c r="H268" s="10">
        <f t="shared" si="84"/>
        <v>0</v>
      </c>
      <c r="I268" s="10">
        <f t="shared" si="84"/>
        <v>917.3</v>
      </c>
      <c r="J268" s="10">
        <f t="shared" si="84"/>
        <v>0</v>
      </c>
      <c r="K268" s="52">
        <f t="shared" si="84"/>
        <v>917.3</v>
      </c>
      <c r="L268" s="52">
        <f>L269</f>
        <v>35.18392</v>
      </c>
      <c r="M268" s="52">
        <f>M269</f>
        <v>952.4839199999999</v>
      </c>
    </row>
    <row r="269" spans="1:13" ht="37.5" customHeight="1">
      <c r="A269" s="17"/>
      <c r="B269" s="32" t="s">
        <v>305</v>
      </c>
      <c r="C269" s="29" t="s">
        <v>84</v>
      </c>
      <c r="D269" s="29" t="s">
        <v>13</v>
      </c>
      <c r="E269" s="30" t="s">
        <v>306</v>
      </c>
      <c r="F269" s="29"/>
      <c r="G269" s="22">
        <f t="shared" si="84"/>
        <v>917.3</v>
      </c>
      <c r="H269" s="22">
        <f t="shared" si="84"/>
        <v>0</v>
      </c>
      <c r="I269" s="22">
        <f t="shared" si="84"/>
        <v>917.3</v>
      </c>
      <c r="J269" s="22">
        <f t="shared" si="84"/>
        <v>0</v>
      </c>
      <c r="K269" s="53">
        <f t="shared" si="84"/>
        <v>917.3</v>
      </c>
      <c r="L269" s="53">
        <f>L270</f>
        <v>35.18392</v>
      </c>
      <c r="M269" s="53">
        <f>M270</f>
        <v>952.4839199999999</v>
      </c>
    </row>
    <row r="270" spans="1:13" ht="54.75" customHeight="1">
      <c r="A270" s="17"/>
      <c r="B270" s="32" t="s">
        <v>307</v>
      </c>
      <c r="C270" s="29" t="s">
        <v>84</v>
      </c>
      <c r="D270" s="29" t="s">
        <v>13</v>
      </c>
      <c r="E270" s="30" t="s">
        <v>308</v>
      </c>
      <c r="F270" s="29" t="s">
        <v>309</v>
      </c>
      <c r="G270" s="22">
        <v>917.3</v>
      </c>
      <c r="H270" s="22">
        <v>0</v>
      </c>
      <c r="I270" s="22">
        <v>917.3</v>
      </c>
      <c r="J270" s="22">
        <v>0</v>
      </c>
      <c r="K270" s="53">
        <v>917.3</v>
      </c>
      <c r="L270" s="165">
        <f>35.18392</f>
        <v>35.18392</v>
      </c>
      <c r="M270" s="53">
        <f>K270+L270</f>
        <v>952.4839199999999</v>
      </c>
    </row>
    <row r="271" spans="1:13" ht="31.5">
      <c r="A271" s="17"/>
      <c r="B271" s="13" t="s">
        <v>310</v>
      </c>
      <c r="C271" s="39" t="s">
        <v>84</v>
      </c>
      <c r="D271" s="39" t="s">
        <v>24</v>
      </c>
      <c r="E271" s="40"/>
      <c r="F271" s="39"/>
      <c r="G271" s="10">
        <f aca="true" t="shared" si="85" ref="G271:M271">G273</f>
        <v>330.8</v>
      </c>
      <c r="H271" s="10">
        <f t="shared" si="85"/>
        <v>926.1</v>
      </c>
      <c r="I271" s="10">
        <f t="shared" si="85"/>
        <v>1256.9</v>
      </c>
      <c r="J271" s="10">
        <f t="shared" si="85"/>
        <v>0</v>
      </c>
      <c r="K271" s="52">
        <f t="shared" si="85"/>
        <v>1256.9</v>
      </c>
      <c r="L271" s="52">
        <f t="shared" si="85"/>
        <v>396.84999999999997</v>
      </c>
      <c r="M271" s="10">
        <f t="shared" si="85"/>
        <v>1653.75</v>
      </c>
    </row>
    <row r="272" spans="1:13" ht="18.75" customHeight="1">
      <c r="A272" s="17"/>
      <c r="B272" s="41" t="s">
        <v>30</v>
      </c>
      <c r="C272" s="29" t="s">
        <v>84</v>
      </c>
      <c r="D272" s="29" t="s">
        <v>24</v>
      </c>
      <c r="E272" s="30" t="s">
        <v>17</v>
      </c>
      <c r="F272" s="29"/>
      <c r="G272" s="10">
        <f aca="true" t="shared" si="86" ref="G272:M272">G273</f>
        <v>330.8</v>
      </c>
      <c r="H272" s="10">
        <f t="shared" si="86"/>
        <v>926.1</v>
      </c>
      <c r="I272" s="10">
        <f t="shared" si="86"/>
        <v>1256.9</v>
      </c>
      <c r="J272" s="10">
        <f t="shared" si="86"/>
        <v>0</v>
      </c>
      <c r="K272" s="52">
        <f t="shared" si="86"/>
        <v>1256.9</v>
      </c>
      <c r="L272" s="52">
        <f t="shared" si="86"/>
        <v>396.84999999999997</v>
      </c>
      <c r="M272" s="10">
        <f t="shared" si="86"/>
        <v>1653.75</v>
      </c>
    </row>
    <row r="273" spans="1:13" ht="21.75" customHeight="1">
      <c r="A273" s="17"/>
      <c r="B273" s="41" t="s">
        <v>18</v>
      </c>
      <c r="C273" s="29" t="s">
        <v>84</v>
      </c>
      <c r="D273" s="29" t="s">
        <v>24</v>
      </c>
      <c r="E273" s="30" t="s">
        <v>32</v>
      </c>
      <c r="F273" s="29"/>
      <c r="G273" s="22">
        <f aca="true" t="shared" si="87" ref="G273:M273">G274+G275+G277</f>
        <v>330.8</v>
      </c>
      <c r="H273" s="22">
        <f t="shared" si="87"/>
        <v>926.1</v>
      </c>
      <c r="I273" s="22">
        <f t="shared" si="87"/>
        <v>1256.9</v>
      </c>
      <c r="J273" s="22">
        <f t="shared" si="87"/>
        <v>0</v>
      </c>
      <c r="K273" s="53">
        <f t="shared" si="87"/>
        <v>1256.9</v>
      </c>
      <c r="L273" s="53">
        <f t="shared" si="87"/>
        <v>396.84999999999997</v>
      </c>
      <c r="M273" s="22">
        <f t="shared" si="87"/>
        <v>1653.75</v>
      </c>
    </row>
    <row r="274" spans="1:13" ht="56.25" customHeight="1">
      <c r="A274" s="17"/>
      <c r="B274" s="19" t="s">
        <v>311</v>
      </c>
      <c r="C274" s="29" t="s">
        <v>84</v>
      </c>
      <c r="D274" s="29" t="s">
        <v>24</v>
      </c>
      <c r="E274" s="92" t="s">
        <v>312</v>
      </c>
      <c r="F274" s="65" t="s">
        <v>93</v>
      </c>
      <c r="G274" s="22">
        <v>330.8</v>
      </c>
      <c r="H274" s="22">
        <v>926.1</v>
      </c>
      <c r="I274" s="22">
        <f>330.8+H274</f>
        <v>1256.9</v>
      </c>
      <c r="J274" s="22">
        <f>+926.1-926.1</f>
        <v>0</v>
      </c>
      <c r="K274" s="53">
        <f>I274+J274</f>
        <v>1256.9</v>
      </c>
      <c r="L274" s="165">
        <f>926.1-926.1+396.9-0.05</f>
        <v>396.84999999999997</v>
      </c>
      <c r="M274" s="22">
        <f>K274+L274</f>
        <v>1653.75</v>
      </c>
    </row>
    <row r="275" spans="1:13" ht="0.75" customHeight="1" hidden="1">
      <c r="A275" s="17"/>
      <c r="B275" s="19" t="s">
        <v>313</v>
      </c>
      <c r="C275" s="29" t="s">
        <v>84</v>
      </c>
      <c r="D275" s="29" t="s">
        <v>24</v>
      </c>
      <c r="E275" s="30" t="s">
        <v>314</v>
      </c>
      <c r="F275" s="29" t="s">
        <v>309</v>
      </c>
      <c r="G275" s="22">
        <v>0</v>
      </c>
      <c r="H275" s="22">
        <v>0</v>
      </c>
      <c r="I275" s="22">
        <v>0</v>
      </c>
      <c r="J275" s="22">
        <v>0</v>
      </c>
      <c r="K275" s="53">
        <v>0</v>
      </c>
      <c r="L275" s="53">
        <v>0</v>
      </c>
      <c r="M275" s="53">
        <v>0</v>
      </c>
    </row>
    <row r="276" spans="1:13" ht="116.25" customHeight="1" hidden="1">
      <c r="A276" s="17"/>
      <c r="B276" s="120" t="s">
        <v>113</v>
      </c>
      <c r="C276" s="29" t="s">
        <v>84</v>
      </c>
      <c r="D276" s="29" t="s">
        <v>24</v>
      </c>
      <c r="E276" s="30" t="s">
        <v>314</v>
      </c>
      <c r="F276" s="29" t="s">
        <v>309</v>
      </c>
      <c r="G276" s="22">
        <v>0</v>
      </c>
      <c r="H276" s="22">
        <v>0</v>
      </c>
      <c r="I276" s="22">
        <v>0</v>
      </c>
      <c r="J276" s="22">
        <v>0</v>
      </c>
      <c r="K276" s="53">
        <v>0</v>
      </c>
      <c r="L276" s="53">
        <v>0</v>
      </c>
      <c r="M276" s="53">
        <v>0</v>
      </c>
    </row>
    <row r="277" spans="1:13" ht="2.25" customHeight="1" hidden="1">
      <c r="A277" s="17"/>
      <c r="B277" s="41" t="s">
        <v>315</v>
      </c>
      <c r="C277" s="76" t="s">
        <v>84</v>
      </c>
      <c r="D277" s="29" t="s">
        <v>24</v>
      </c>
      <c r="E277" s="30" t="s">
        <v>316</v>
      </c>
      <c r="F277" s="29" t="s">
        <v>309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</row>
    <row r="278" spans="1:13" ht="21.75" customHeight="1">
      <c r="A278" s="17"/>
      <c r="B278" s="145" t="s">
        <v>317</v>
      </c>
      <c r="C278" s="137" t="s">
        <v>84</v>
      </c>
      <c r="D278" s="39" t="s">
        <v>29</v>
      </c>
      <c r="E278" s="40"/>
      <c r="F278" s="39"/>
      <c r="G278" s="10">
        <f aca="true" t="shared" si="88" ref="G278:K280">G279</f>
        <v>913.6</v>
      </c>
      <c r="H278" s="10">
        <f t="shared" si="88"/>
        <v>0</v>
      </c>
      <c r="I278" s="10">
        <f t="shared" si="88"/>
        <v>913.6</v>
      </c>
      <c r="J278" s="10">
        <f t="shared" si="88"/>
        <v>0</v>
      </c>
      <c r="K278" s="52">
        <f t="shared" si="88"/>
        <v>913.6</v>
      </c>
      <c r="L278" s="52">
        <f aca="true" t="shared" si="89" ref="L278:M280">L279</f>
        <v>-68.7693</v>
      </c>
      <c r="M278" s="52">
        <f t="shared" si="89"/>
        <v>844.8307</v>
      </c>
    </row>
    <row r="279" spans="1:13" ht="71.25" customHeight="1">
      <c r="A279" s="17"/>
      <c r="B279" s="26" t="s">
        <v>318</v>
      </c>
      <c r="C279" s="137" t="s">
        <v>84</v>
      </c>
      <c r="D279" s="39" t="s">
        <v>29</v>
      </c>
      <c r="E279" s="40" t="s">
        <v>319</v>
      </c>
      <c r="F279" s="29"/>
      <c r="G279" s="10">
        <f t="shared" si="88"/>
        <v>913.6</v>
      </c>
      <c r="H279" s="10">
        <f t="shared" si="88"/>
        <v>0</v>
      </c>
      <c r="I279" s="10">
        <f t="shared" si="88"/>
        <v>913.6</v>
      </c>
      <c r="J279" s="10">
        <f t="shared" si="88"/>
        <v>0</v>
      </c>
      <c r="K279" s="52">
        <f t="shared" si="88"/>
        <v>913.6</v>
      </c>
      <c r="L279" s="52">
        <f t="shared" si="89"/>
        <v>-68.7693</v>
      </c>
      <c r="M279" s="52">
        <f t="shared" si="89"/>
        <v>844.8307</v>
      </c>
    </row>
    <row r="280" spans="1:13" ht="40.5" customHeight="1">
      <c r="A280" s="17"/>
      <c r="B280" s="19" t="s">
        <v>320</v>
      </c>
      <c r="C280" s="76" t="s">
        <v>84</v>
      </c>
      <c r="D280" s="29" t="s">
        <v>29</v>
      </c>
      <c r="E280" s="30" t="s">
        <v>321</v>
      </c>
      <c r="F280" s="29"/>
      <c r="G280" s="22">
        <f t="shared" si="88"/>
        <v>913.6</v>
      </c>
      <c r="H280" s="22">
        <f t="shared" si="88"/>
        <v>0</v>
      </c>
      <c r="I280" s="22">
        <f t="shared" si="88"/>
        <v>913.6</v>
      </c>
      <c r="J280" s="22">
        <f t="shared" si="88"/>
        <v>0</v>
      </c>
      <c r="K280" s="53">
        <f t="shared" si="88"/>
        <v>913.6</v>
      </c>
      <c r="L280" s="53">
        <f t="shared" si="89"/>
        <v>-68.7693</v>
      </c>
      <c r="M280" s="53">
        <f t="shared" si="89"/>
        <v>844.8307</v>
      </c>
    </row>
    <row r="281" spans="1:13" ht="54.75" customHeight="1">
      <c r="A281" s="17"/>
      <c r="B281" s="41" t="s">
        <v>322</v>
      </c>
      <c r="C281" s="76" t="s">
        <v>84</v>
      </c>
      <c r="D281" s="29" t="s">
        <v>29</v>
      </c>
      <c r="E281" s="30" t="s">
        <v>323</v>
      </c>
      <c r="F281" s="29" t="s">
        <v>93</v>
      </c>
      <c r="G281" s="22">
        <v>913.6</v>
      </c>
      <c r="H281" s="22">
        <v>0</v>
      </c>
      <c r="I281" s="22">
        <v>913.6</v>
      </c>
      <c r="J281" s="22">
        <v>0</v>
      </c>
      <c r="K281" s="53">
        <v>913.6</v>
      </c>
      <c r="L281" s="53">
        <v>-68.7693</v>
      </c>
      <c r="M281" s="53">
        <f>K281+L281</f>
        <v>844.8307</v>
      </c>
    </row>
    <row r="282" spans="1:13" ht="24" customHeight="1">
      <c r="A282" s="17"/>
      <c r="B282" s="144" t="s">
        <v>324</v>
      </c>
      <c r="C282" s="39" t="s">
        <v>41</v>
      </c>
      <c r="D282" s="39"/>
      <c r="E282" s="30"/>
      <c r="F282" s="29"/>
      <c r="G282" s="10">
        <f aca="true" t="shared" si="90" ref="G282:M282">G284</f>
        <v>11281.1</v>
      </c>
      <c r="H282" s="10">
        <f t="shared" si="90"/>
        <v>0</v>
      </c>
      <c r="I282" s="10">
        <f t="shared" si="90"/>
        <v>11281.1</v>
      </c>
      <c r="J282" s="10">
        <f t="shared" si="90"/>
        <v>1421</v>
      </c>
      <c r="K282" s="52">
        <f t="shared" si="90"/>
        <v>12702.1</v>
      </c>
      <c r="L282" s="52">
        <f t="shared" si="90"/>
        <v>7345</v>
      </c>
      <c r="M282" s="10">
        <f t="shared" si="90"/>
        <v>20047.1</v>
      </c>
    </row>
    <row r="283" spans="1:13" ht="21.75" customHeight="1">
      <c r="A283" s="17"/>
      <c r="B283" s="13" t="s">
        <v>325</v>
      </c>
      <c r="C283" s="39" t="s">
        <v>41</v>
      </c>
      <c r="D283" s="39" t="s">
        <v>13</v>
      </c>
      <c r="E283" s="40"/>
      <c r="F283" s="39"/>
      <c r="G283" s="10">
        <f aca="true" t="shared" si="91" ref="G283:M283">G284</f>
        <v>11281.1</v>
      </c>
      <c r="H283" s="10">
        <f t="shared" si="91"/>
        <v>0</v>
      </c>
      <c r="I283" s="10">
        <f t="shared" si="91"/>
        <v>11281.1</v>
      </c>
      <c r="J283" s="10">
        <f t="shared" si="91"/>
        <v>1421</v>
      </c>
      <c r="K283" s="52">
        <f t="shared" si="91"/>
        <v>12702.1</v>
      </c>
      <c r="L283" s="52">
        <f t="shared" si="91"/>
        <v>7345</v>
      </c>
      <c r="M283" s="10">
        <f t="shared" si="91"/>
        <v>20047.1</v>
      </c>
    </row>
    <row r="284" spans="1:13" ht="99" customHeight="1">
      <c r="A284" s="17"/>
      <c r="B284" s="26" t="s">
        <v>326</v>
      </c>
      <c r="C284" s="39" t="s">
        <v>41</v>
      </c>
      <c r="D284" s="39" t="s">
        <v>13</v>
      </c>
      <c r="E284" s="40" t="s">
        <v>327</v>
      </c>
      <c r="F284" s="39"/>
      <c r="G284" s="10">
        <f aca="true" t="shared" si="92" ref="G284:M284">G285+G287</f>
        <v>11281.1</v>
      </c>
      <c r="H284" s="10">
        <f t="shared" si="92"/>
        <v>0</v>
      </c>
      <c r="I284" s="10">
        <f t="shared" si="92"/>
        <v>11281.1</v>
      </c>
      <c r="J284" s="10">
        <f t="shared" si="92"/>
        <v>1421</v>
      </c>
      <c r="K284" s="52">
        <f t="shared" si="92"/>
        <v>12702.1</v>
      </c>
      <c r="L284" s="52">
        <f t="shared" si="92"/>
        <v>7345</v>
      </c>
      <c r="M284" s="10">
        <f t="shared" si="92"/>
        <v>20047.1</v>
      </c>
    </row>
    <row r="285" spans="1:13" ht="38.25" customHeight="1">
      <c r="A285" s="17"/>
      <c r="B285" s="138" t="s">
        <v>328</v>
      </c>
      <c r="C285" s="36" t="s">
        <v>41</v>
      </c>
      <c r="D285" s="36" t="s">
        <v>13</v>
      </c>
      <c r="E285" s="37" t="s">
        <v>329</v>
      </c>
      <c r="F285" s="36"/>
      <c r="G285" s="98">
        <f aca="true" t="shared" si="93" ref="G285:M285">G286</f>
        <v>11281.1</v>
      </c>
      <c r="H285" s="98">
        <f t="shared" si="93"/>
        <v>0</v>
      </c>
      <c r="I285" s="98">
        <f t="shared" si="93"/>
        <v>11281.1</v>
      </c>
      <c r="J285" s="98">
        <f t="shared" si="93"/>
        <v>0</v>
      </c>
      <c r="K285" s="155">
        <f t="shared" si="93"/>
        <v>11281.1</v>
      </c>
      <c r="L285" s="155">
        <f t="shared" si="93"/>
        <v>7345</v>
      </c>
      <c r="M285" s="98">
        <f t="shared" si="93"/>
        <v>18626.1</v>
      </c>
    </row>
    <row r="286" spans="1:13" ht="100.5" customHeight="1">
      <c r="A286" s="17"/>
      <c r="B286" s="139" t="s">
        <v>330</v>
      </c>
      <c r="C286" s="29" t="s">
        <v>41</v>
      </c>
      <c r="D286" s="29" t="s">
        <v>13</v>
      </c>
      <c r="E286" s="92" t="s">
        <v>331</v>
      </c>
      <c r="F286" s="29" t="s">
        <v>280</v>
      </c>
      <c r="G286" s="22">
        <v>11281.1</v>
      </c>
      <c r="H286" s="22">
        <v>0</v>
      </c>
      <c r="I286" s="22">
        <v>11281.1</v>
      </c>
      <c r="J286" s="22">
        <v>0</v>
      </c>
      <c r="K286" s="53">
        <v>11281.1</v>
      </c>
      <c r="L286" s="53">
        <f>219+7000+97+29</f>
        <v>7345</v>
      </c>
      <c r="M286" s="22">
        <f>K286+L286</f>
        <v>18626.1</v>
      </c>
    </row>
    <row r="287" spans="1:13" ht="58.5" customHeight="1">
      <c r="A287" s="17"/>
      <c r="B287" s="139" t="s">
        <v>332</v>
      </c>
      <c r="C287" s="29" t="s">
        <v>41</v>
      </c>
      <c r="D287" s="29" t="s">
        <v>13</v>
      </c>
      <c r="E287" s="37" t="s">
        <v>329</v>
      </c>
      <c r="F287" s="29"/>
      <c r="G287" s="22">
        <v>0</v>
      </c>
      <c r="H287" s="22">
        <v>0</v>
      </c>
      <c r="I287" s="22">
        <v>0</v>
      </c>
      <c r="J287" s="22">
        <f>J288</f>
        <v>1421</v>
      </c>
      <c r="K287" s="53">
        <f>I287+J287</f>
        <v>1421</v>
      </c>
      <c r="L287" s="53">
        <f>L288</f>
        <v>0</v>
      </c>
      <c r="M287" s="22">
        <f>K287+L287</f>
        <v>1421</v>
      </c>
    </row>
    <row r="288" spans="1:13" ht="143.25" customHeight="1">
      <c r="A288" s="17"/>
      <c r="B288" s="23" t="s">
        <v>333</v>
      </c>
      <c r="C288" s="29" t="s">
        <v>41</v>
      </c>
      <c r="D288" s="29" t="s">
        <v>13</v>
      </c>
      <c r="E288" s="92" t="s">
        <v>334</v>
      </c>
      <c r="F288" s="29" t="s">
        <v>280</v>
      </c>
      <c r="G288" s="22">
        <v>0</v>
      </c>
      <c r="H288" s="22">
        <v>0</v>
      </c>
      <c r="I288" s="22">
        <v>0</v>
      </c>
      <c r="J288" s="22">
        <v>1421</v>
      </c>
      <c r="K288" s="53">
        <f>I288+J288</f>
        <v>1421</v>
      </c>
      <c r="L288" s="53">
        <v>0</v>
      </c>
      <c r="M288" s="22">
        <f>K288+L288</f>
        <v>1421</v>
      </c>
    </row>
    <row r="289" spans="1:13" ht="24" customHeight="1">
      <c r="A289" s="146"/>
      <c r="B289" s="147" t="s">
        <v>335</v>
      </c>
      <c r="C289" s="148"/>
      <c r="D289" s="148"/>
      <c r="E289" s="148"/>
      <c r="F289" s="148"/>
      <c r="G289" s="149">
        <f aca="true" t="shared" si="94" ref="G289:M289">G10</f>
        <v>203460.00000000003</v>
      </c>
      <c r="H289" s="149">
        <f t="shared" si="94"/>
        <v>141772.7716</v>
      </c>
      <c r="I289" s="150">
        <f t="shared" si="94"/>
        <v>345232.7716</v>
      </c>
      <c r="J289" s="149">
        <f t="shared" si="94"/>
        <v>135033.30000000005</v>
      </c>
      <c r="K289" s="158">
        <f t="shared" si="94"/>
        <v>480266.0716</v>
      </c>
      <c r="L289" s="158">
        <f t="shared" si="94"/>
        <v>44668.21135</v>
      </c>
      <c r="M289" s="204">
        <f t="shared" si="94"/>
        <v>526792.4829500001</v>
      </c>
    </row>
    <row r="290" spans="7:13" ht="15">
      <c r="G290" s="151"/>
      <c r="H290" s="151"/>
      <c r="I290" s="151"/>
      <c r="J290" s="151"/>
      <c r="K290" s="159"/>
      <c r="L290" s="159"/>
      <c r="M290" s="159"/>
    </row>
    <row r="291" spans="7:13" ht="15">
      <c r="G291" s="151"/>
      <c r="H291" s="151"/>
      <c r="I291" s="151"/>
      <c r="J291" s="151"/>
      <c r="K291" s="159"/>
      <c r="L291" s="159"/>
      <c r="M291" s="159"/>
    </row>
    <row r="292" spans="7:13" ht="15">
      <c r="G292" s="151"/>
      <c r="H292" s="151"/>
      <c r="I292" s="151"/>
      <c r="J292" s="151"/>
      <c r="K292" s="159"/>
      <c r="L292" s="159"/>
      <c r="M292" s="159"/>
    </row>
    <row r="293" spans="7:13" ht="15">
      <c r="G293" s="151"/>
      <c r="H293" s="151"/>
      <c r="I293" s="151"/>
      <c r="J293" s="151"/>
      <c r="K293" s="159"/>
      <c r="L293" s="159"/>
      <c r="M293" s="159"/>
    </row>
    <row r="294" spans="7:13" ht="15">
      <c r="G294" s="151"/>
      <c r="H294" s="151"/>
      <c r="I294" s="151"/>
      <c r="J294" s="151"/>
      <c r="K294" s="159"/>
      <c r="L294" s="159"/>
      <c r="M294" s="159"/>
    </row>
    <row r="295" spans="7:13" ht="15">
      <c r="G295" s="151"/>
      <c r="H295" s="151"/>
      <c r="I295" s="151"/>
      <c r="J295" s="151"/>
      <c r="K295" s="159"/>
      <c r="L295" s="159"/>
      <c r="M295" s="159"/>
    </row>
    <row r="296" spans="7:13" ht="15">
      <c r="G296" s="151"/>
      <c r="H296" s="151"/>
      <c r="I296" s="151"/>
      <c r="J296" s="151"/>
      <c r="K296" s="159"/>
      <c r="L296" s="159"/>
      <c r="M296" s="159"/>
    </row>
    <row r="297" spans="7:13" ht="15">
      <c r="G297" s="151"/>
      <c r="H297" s="151"/>
      <c r="I297" s="151"/>
      <c r="J297" s="151"/>
      <c r="K297" s="159"/>
      <c r="L297" s="159"/>
      <c r="M297" s="159"/>
    </row>
    <row r="298" spans="7:13" ht="15">
      <c r="G298" s="151"/>
      <c r="H298" s="151"/>
      <c r="I298" s="151"/>
      <c r="J298" s="151"/>
      <c r="K298" s="159"/>
      <c r="L298" s="159"/>
      <c r="M298" s="159"/>
    </row>
    <row r="299" spans="7:13" ht="15">
      <c r="G299" s="151"/>
      <c r="H299" s="151"/>
      <c r="I299" s="151"/>
      <c r="J299" s="151"/>
      <c r="K299" s="159"/>
      <c r="L299" s="159"/>
      <c r="M299" s="159"/>
    </row>
    <row r="300" spans="7:13" ht="15">
      <c r="G300" s="151"/>
      <c r="H300" s="151"/>
      <c r="I300" s="151"/>
      <c r="J300" s="151"/>
      <c r="K300" s="159"/>
      <c r="L300" s="159"/>
      <c r="M300" s="159"/>
    </row>
    <row r="301" spans="7:13" ht="15">
      <c r="G301" s="151"/>
      <c r="H301" s="151"/>
      <c r="I301" s="151"/>
      <c r="J301" s="151"/>
      <c r="K301" s="159"/>
      <c r="L301" s="159"/>
      <c r="M301" s="159"/>
    </row>
    <row r="302" spans="7:13" ht="15">
      <c r="G302" s="151"/>
      <c r="H302" s="151"/>
      <c r="I302" s="151"/>
      <c r="J302" s="151"/>
      <c r="K302" s="159"/>
      <c r="L302" s="159"/>
      <c r="M302" s="159"/>
    </row>
    <row r="303" spans="7:13" ht="15">
      <c r="G303" s="151"/>
      <c r="H303" s="151"/>
      <c r="I303" s="151"/>
      <c r="J303" s="151"/>
      <c r="K303" s="159"/>
      <c r="L303" s="159"/>
      <c r="M303" s="159"/>
    </row>
    <row r="304" spans="7:13" ht="15">
      <c r="G304" s="151"/>
      <c r="H304" s="151"/>
      <c r="I304" s="151"/>
      <c r="J304" s="151"/>
      <c r="K304" s="159"/>
      <c r="L304" s="159"/>
      <c r="M304" s="159"/>
    </row>
    <row r="305" spans="7:13" ht="15">
      <c r="G305" s="151"/>
      <c r="H305" s="151"/>
      <c r="I305" s="151"/>
      <c r="J305" s="151"/>
      <c r="K305" s="159"/>
      <c r="L305" s="159"/>
      <c r="M305" s="159"/>
    </row>
    <row r="306" spans="7:13" ht="15">
      <c r="G306" s="151"/>
      <c r="H306" s="151"/>
      <c r="I306" s="151"/>
      <c r="J306" s="151"/>
      <c r="K306" s="159"/>
      <c r="L306" s="159"/>
      <c r="M306" s="159"/>
    </row>
    <row r="307" spans="7:13" ht="15">
      <c r="G307" s="151"/>
      <c r="H307" s="151"/>
      <c r="I307" s="151"/>
      <c r="J307" s="151"/>
      <c r="K307" s="159"/>
      <c r="L307" s="159"/>
      <c r="M307" s="159"/>
    </row>
    <row r="308" spans="7:13" ht="15">
      <c r="G308" s="151"/>
      <c r="H308" s="151"/>
      <c r="I308" s="151"/>
      <c r="J308" s="151"/>
      <c r="K308" s="159"/>
      <c r="L308" s="159"/>
      <c r="M308" s="159"/>
    </row>
    <row r="309" spans="7:13" ht="15">
      <c r="G309" s="151"/>
      <c r="H309" s="151"/>
      <c r="I309" s="151"/>
      <c r="J309" s="151"/>
      <c r="K309" s="159"/>
      <c r="L309" s="159"/>
      <c r="M309" s="159"/>
    </row>
    <row r="310" spans="7:13" ht="15">
      <c r="G310" s="151"/>
      <c r="H310" s="151"/>
      <c r="I310" s="151"/>
      <c r="J310" s="151"/>
      <c r="K310" s="159"/>
      <c r="L310" s="159"/>
      <c r="M310" s="159"/>
    </row>
    <row r="311" spans="7:13" ht="15">
      <c r="G311" s="151"/>
      <c r="H311" s="151"/>
      <c r="I311" s="151"/>
      <c r="J311" s="151"/>
      <c r="K311" s="159"/>
      <c r="L311" s="159"/>
      <c r="M311" s="159"/>
    </row>
    <row r="312" spans="7:13" ht="15">
      <c r="G312" s="151"/>
      <c r="H312" s="151"/>
      <c r="I312" s="151"/>
      <c r="J312" s="151"/>
      <c r="K312" s="159"/>
      <c r="L312" s="159"/>
      <c r="M312" s="159"/>
    </row>
    <row r="313" spans="7:13" ht="15">
      <c r="G313" s="151"/>
      <c r="H313" s="151"/>
      <c r="I313" s="151"/>
      <c r="J313" s="151"/>
      <c r="K313" s="159"/>
      <c r="L313" s="159"/>
      <c r="M313" s="159"/>
    </row>
    <row r="314" spans="7:13" ht="15">
      <c r="G314" s="151"/>
      <c r="H314" s="151"/>
      <c r="I314" s="151"/>
      <c r="J314" s="151"/>
      <c r="K314" s="159"/>
      <c r="L314" s="159"/>
      <c r="M314" s="159"/>
    </row>
    <row r="315" spans="7:13" ht="15">
      <c r="G315" s="151"/>
      <c r="H315" s="151"/>
      <c r="I315" s="151"/>
      <c r="J315" s="151"/>
      <c r="K315" s="159"/>
      <c r="L315" s="159"/>
      <c r="M315" s="159"/>
    </row>
    <row r="316" spans="7:13" ht="15">
      <c r="G316" s="151"/>
      <c r="H316" s="151"/>
      <c r="I316" s="151"/>
      <c r="J316" s="151"/>
      <c r="K316" s="159"/>
      <c r="L316" s="159"/>
      <c r="M316" s="159"/>
    </row>
    <row r="317" spans="7:13" ht="15">
      <c r="G317" s="151"/>
      <c r="H317" s="151"/>
      <c r="I317" s="151"/>
      <c r="J317" s="151"/>
      <c r="K317" s="159"/>
      <c r="L317" s="159"/>
      <c r="M317" s="159"/>
    </row>
    <row r="318" spans="7:13" ht="15">
      <c r="G318" s="151"/>
      <c r="H318" s="151"/>
      <c r="I318" s="151"/>
      <c r="J318" s="151"/>
      <c r="K318" s="159"/>
      <c r="L318" s="159"/>
      <c r="M318" s="159"/>
    </row>
    <row r="319" spans="7:13" ht="15">
      <c r="G319" s="151"/>
      <c r="H319" s="151"/>
      <c r="I319" s="151"/>
      <c r="J319" s="151"/>
      <c r="K319" s="159"/>
      <c r="L319" s="159"/>
      <c r="M319" s="159"/>
    </row>
    <row r="320" spans="7:13" ht="15">
      <c r="G320" s="151"/>
      <c r="H320" s="151"/>
      <c r="I320" s="151"/>
      <c r="J320" s="151"/>
      <c r="K320" s="159"/>
      <c r="L320" s="159"/>
      <c r="M320" s="159"/>
    </row>
    <row r="321" spans="7:13" ht="15">
      <c r="G321" s="151"/>
      <c r="H321" s="151"/>
      <c r="I321" s="151"/>
      <c r="J321" s="151"/>
      <c r="K321" s="159"/>
      <c r="L321" s="159"/>
      <c r="M321" s="159"/>
    </row>
    <row r="322" spans="7:13" ht="15">
      <c r="G322" s="151"/>
      <c r="H322" s="151"/>
      <c r="I322" s="151"/>
      <c r="J322" s="151"/>
      <c r="K322" s="159"/>
      <c r="L322" s="159"/>
      <c r="M322" s="159"/>
    </row>
    <row r="323" spans="7:13" ht="15">
      <c r="G323" s="151"/>
      <c r="H323" s="151"/>
      <c r="I323" s="151"/>
      <c r="J323" s="151"/>
      <c r="K323" s="159"/>
      <c r="L323" s="159"/>
      <c r="M323" s="159"/>
    </row>
    <row r="324" spans="7:13" ht="15">
      <c r="G324" s="151"/>
      <c r="H324" s="151"/>
      <c r="I324" s="151"/>
      <c r="J324" s="151"/>
      <c r="K324" s="159"/>
      <c r="L324" s="159"/>
      <c r="M324" s="159"/>
    </row>
    <row r="325" spans="7:13" ht="15">
      <c r="G325" s="151"/>
      <c r="H325" s="151"/>
      <c r="I325" s="151"/>
      <c r="J325" s="151"/>
      <c r="K325" s="159"/>
      <c r="L325" s="159"/>
      <c r="M325" s="159"/>
    </row>
    <row r="326" spans="7:13" ht="15">
      <c r="G326" s="151"/>
      <c r="H326" s="151"/>
      <c r="I326" s="151"/>
      <c r="J326" s="151"/>
      <c r="K326" s="159"/>
      <c r="L326" s="159"/>
      <c r="M326" s="159"/>
    </row>
    <row r="327" spans="7:13" ht="15">
      <c r="G327" s="151"/>
      <c r="H327" s="151"/>
      <c r="I327" s="151"/>
      <c r="J327" s="151"/>
      <c r="K327" s="159"/>
      <c r="L327" s="159"/>
      <c r="M327" s="159"/>
    </row>
    <row r="328" spans="7:13" ht="15">
      <c r="G328" s="151"/>
      <c r="H328" s="151"/>
      <c r="I328" s="151"/>
      <c r="J328" s="151"/>
      <c r="K328" s="159"/>
      <c r="L328" s="159"/>
      <c r="M328" s="159"/>
    </row>
    <row r="329" spans="7:13" ht="15">
      <c r="G329" s="151"/>
      <c r="H329" s="151"/>
      <c r="I329" s="151"/>
      <c r="J329" s="151"/>
      <c r="K329" s="159"/>
      <c r="L329" s="159"/>
      <c r="M329" s="159"/>
    </row>
    <row r="330" spans="7:13" ht="15">
      <c r="G330" s="151"/>
      <c r="H330" s="151"/>
      <c r="I330" s="151"/>
      <c r="J330" s="151"/>
      <c r="K330" s="159"/>
      <c r="L330" s="159"/>
      <c r="M330" s="159"/>
    </row>
    <row r="331" spans="7:13" ht="15">
      <c r="G331" s="151"/>
      <c r="H331" s="151"/>
      <c r="I331" s="151"/>
      <c r="J331" s="151"/>
      <c r="K331" s="159"/>
      <c r="L331" s="159"/>
      <c r="M331" s="159"/>
    </row>
    <row r="332" spans="7:13" ht="15">
      <c r="G332" s="151"/>
      <c r="H332" s="151"/>
      <c r="I332" s="151"/>
      <c r="J332" s="151"/>
      <c r="K332" s="159"/>
      <c r="L332" s="159"/>
      <c r="M332" s="159"/>
    </row>
    <row r="333" spans="7:13" ht="15">
      <c r="G333" s="151"/>
      <c r="H333" s="151"/>
      <c r="I333" s="151"/>
      <c r="J333" s="151"/>
      <c r="K333" s="159"/>
      <c r="L333" s="159"/>
      <c r="M333" s="159"/>
    </row>
    <row r="334" spans="7:13" ht="15">
      <c r="G334" s="151"/>
      <c r="H334" s="151"/>
      <c r="I334" s="151"/>
      <c r="J334" s="151"/>
      <c r="K334" s="159"/>
      <c r="L334" s="159"/>
      <c r="M334" s="159"/>
    </row>
    <row r="335" spans="7:13" ht="15">
      <c r="G335" s="151"/>
      <c r="H335" s="151"/>
      <c r="I335" s="151"/>
      <c r="J335" s="151"/>
      <c r="K335" s="159"/>
      <c r="L335" s="159"/>
      <c r="M335" s="159"/>
    </row>
    <row r="336" spans="7:13" ht="15">
      <c r="G336" s="151"/>
      <c r="H336" s="151"/>
      <c r="I336" s="151"/>
      <c r="J336" s="151"/>
      <c r="K336" s="159"/>
      <c r="L336" s="159"/>
      <c r="M336" s="159"/>
    </row>
    <row r="337" spans="7:13" ht="15">
      <c r="G337" s="151"/>
      <c r="H337" s="151"/>
      <c r="I337" s="151"/>
      <c r="J337" s="151"/>
      <c r="K337" s="159"/>
      <c r="L337" s="159"/>
      <c r="M337" s="159"/>
    </row>
    <row r="338" spans="7:13" ht="15">
      <c r="G338" s="151"/>
      <c r="H338" s="151"/>
      <c r="I338" s="151"/>
      <c r="J338" s="151"/>
      <c r="K338" s="159"/>
      <c r="L338" s="159"/>
      <c r="M338" s="159"/>
    </row>
    <row r="339" spans="7:13" ht="15">
      <c r="G339" s="151"/>
      <c r="H339" s="151"/>
      <c r="I339" s="151"/>
      <c r="J339" s="151"/>
      <c r="K339" s="159"/>
      <c r="L339" s="159"/>
      <c r="M339" s="159"/>
    </row>
    <row r="340" spans="7:13" ht="15">
      <c r="G340" s="151"/>
      <c r="H340" s="151"/>
      <c r="I340" s="151"/>
      <c r="J340" s="151"/>
      <c r="K340" s="159"/>
      <c r="L340" s="159"/>
      <c r="M340" s="159"/>
    </row>
    <row r="341" spans="7:13" ht="15">
      <c r="G341" s="151"/>
      <c r="H341" s="151"/>
      <c r="I341" s="151"/>
      <c r="J341" s="151"/>
      <c r="K341" s="159"/>
      <c r="L341" s="159"/>
      <c r="M341" s="159"/>
    </row>
    <row r="342" spans="7:13" ht="15">
      <c r="G342" s="151"/>
      <c r="H342" s="151"/>
      <c r="I342" s="151"/>
      <c r="J342" s="151"/>
      <c r="K342" s="159"/>
      <c r="L342" s="159"/>
      <c r="M342" s="159"/>
    </row>
    <row r="343" spans="7:13" ht="15">
      <c r="G343" s="151"/>
      <c r="H343" s="151"/>
      <c r="I343" s="151"/>
      <c r="J343" s="151"/>
      <c r="K343" s="159"/>
      <c r="L343" s="159"/>
      <c r="M343" s="159"/>
    </row>
    <row r="344" spans="7:13" ht="15">
      <c r="G344" s="151"/>
      <c r="H344" s="151"/>
      <c r="I344" s="151"/>
      <c r="J344" s="151"/>
      <c r="K344" s="159"/>
      <c r="L344" s="159"/>
      <c r="M344" s="159"/>
    </row>
    <row r="345" spans="7:13" ht="15">
      <c r="G345" s="151"/>
      <c r="H345" s="151"/>
      <c r="I345" s="151"/>
      <c r="J345" s="151"/>
      <c r="K345" s="159"/>
      <c r="L345" s="159"/>
      <c r="M345" s="159"/>
    </row>
    <row r="346" spans="7:13" ht="15">
      <c r="G346" s="151"/>
      <c r="H346" s="151"/>
      <c r="I346" s="151"/>
      <c r="J346" s="151"/>
      <c r="K346" s="159"/>
      <c r="L346" s="159"/>
      <c r="M346" s="159"/>
    </row>
    <row r="347" spans="7:13" ht="15">
      <c r="G347" s="151"/>
      <c r="H347" s="151"/>
      <c r="I347" s="151"/>
      <c r="J347" s="151"/>
      <c r="K347" s="159"/>
      <c r="L347" s="159"/>
      <c r="M347" s="159"/>
    </row>
    <row r="348" spans="7:13" ht="15">
      <c r="G348" s="151"/>
      <c r="H348" s="151"/>
      <c r="I348" s="151"/>
      <c r="J348" s="151"/>
      <c r="K348" s="159"/>
      <c r="L348" s="159"/>
      <c r="M348" s="159"/>
    </row>
    <row r="349" spans="7:13" ht="15">
      <c r="G349" s="151"/>
      <c r="H349" s="151"/>
      <c r="I349" s="151"/>
      <c r="J349" s="151"/>
      <c r="K349" s="159"/>
      <c r="L349" s="159"/>
      <c r="M349" s="159"/>
    </row>
    <row r="350" spans="7:13" ht="15">
      <c r="G350" s="151"/>
      <c r="H350" s="151"/>
      <c r="I350" s="151"/>
      <c r="J350" s="151"/>
      <c r="K350" s="159"/>
      <c r="L350" s="159"/>
      <c r="M350" s="159"/>
    </row>
    <row r="351" spans="7:13" ht="15">
      <c r="G351" s="151"/>
      <c r="H351" s="151"/>
      <c r="I351" s="151"/>
      <c r="J351" s="151"/>
      <c r="K351" s="159"/>
      <c r="L351" s="159"/>
      <c r="M351" s="159"/>
    </row>
    <row r="352" spans="7:13" ht="15">
      <c r="G352" s="151"/>
      <c r="H352" s="151"/>
      <c r="I352" s="151"/>
      <c r="J352" s="151"/>
      <c r="K352" s="159"/>
      <c r="L352" s="159"/>
      <c r="M352" s="159"/>
    </row>
    <row r="353" spans="7:13" ht="15">
      <c r="G353" s="151"/>
      <c r="H353" s="151"/>
      <c r="I353" s="151"/>
      <c r="J353" s="151"/>
      <c r="K353" s="159"/>
      <c r="L353" s="159"/>
      <c r="M353" s="159"/>
    </row>
    <row r="354" spans="7:13" ht="15">
      <c r="G354" s="151"/>
      <c r="H354" s="151"/>
      <c r="I354" s="151"/>
      <c r="J354" s="151"/>
      <c r="K354" s="159"/>
      <c r="L354" s="159"/>
      <c r="M354" s="159"/>
    </row>
    <row r="355" spans="7:13" ht="15">
      <c r="G355" s="151"/>
      <c r="H355" s="151"/>
      <c r="I355" s="151"/>
      <c r="J355" s="151"/>
      <c r="K355" s="159"/>
      <c r="L355" s="159"/>
      <c r="M355" s="159"/>
    </row>
    <row r="356" spans="7:13" ht="15">
      <c r="G356" s="151"/>
      <c r="H356" s="151"/>
      <c r="I356" s="151"/>
      <c r="J356" s="151"/>
      <c r="K356" s="159"/>
      <c r="L356" s="159"/>
      <c r="M356" s="159"/>
    </row>
    <row r="357" spans="7:13" ht="15">
      <c r="G357" s="151"/>
      <c r="H357" s="151"/>
      <c r="I357" s="151"/>
      <c r="J357" s="151"/>
      <c r="K357" s="159"/>
      <c r="L357" s="159"/>
      <c r="M357" s="159"/>
    </row>
    <row r="358" spans="7:13" ht="15">
      <c r="G358" s="151"/>
      <c r="H358" s="151"/>
      <c r="I358" s="151"/>
      <c r="J358" s="151"/>
      <c r="K358" s="159"/>
      <c r="L358" s="159"/>
      <c r="M358" s="159"/>
    </row>
    <row r="359" spans="7:13" ht="15">
      <c r="G359" s="151"/>
      <c r="H359" s="151"/>
      <c r="I359" s="151"/>
      <c r="J359" s="151"/>
      <c r="K359" s="159"/>
      <c r="L359" s="159"/>
      <c r="M359" s="159"/>
    </row>
    <row r="360" spans="7:13" ht="15">
      <c r="G360" s="151"/>
      <c r="H360" s="151"/>
      <c r="I360" s="151"/>
      <c r="J360" s="151"/>
      <c r="K360" s="159"/>
      <c r="L360" s="159"/>
      <c r="M360" s="159"/>
    </row>
    <row r="361" spans="7:13" ht="15">
      <c r="G361" s="151"/>
      <c r="H361" s="151"/>
      <c r="I361" s="151"/>
      <c r="J361" s="151"/>
      <c r="K361" s="159"/>
      <c r="L361" s="159"/>
      <c r="M361" s="159"/>
    </row>
    <row r="362" spans="7:13" ht="15">
      <c r="G362" s="151"/>
      <c r="H362" s="151"/>
      <c r="I362" s="151"/>
      <c r="J362" s="151"/>
      <c r="K362" s="159"/>
      <c r="L362" s="159"/>
      <c r="M362" s="159"/>
    </row>
    <row r="363" spans="7:13" ht="15">
      <c r="G363" s="151"/>
      <c r="H363" s="151"/>
      <c r="I363" s="151"/>
      <c r="J363" s="151"/>
      <c r="K363" s="159"/>
      <c r="L363" s="159"/>
      <c r="M363" s="159"/>
    </row>
    <row r="364" spans="7:13" ht="15">
      <c r="G364" s="151"/>
      <c r="H364" s="151"/>
      <c r="I364" s="151"/>
      <c r="J364" s="151"/>
      <c r="K364" s="159"/>
      <c r="L364" s="159"/>
      <c r="M364" s="159"/>
    </row>
    <row r="365" spans="7:13" ht="15">
      <c r="G365" s="151"/>
      <c r="H365" s="151"/>
      <c r="I365" s="151"/>
      <c r="J365" s="151"/>
      <c r="K365" s="159"/>
      <c r="L365" s="159"/>
      <c r="M365" s="159"/>
    </row>
    <row r="366" spans="7:13" ht="15">
      <c r="G366" s="151"/>
      <c r="H366" s="151"/>
      <c r="I366" s="151"/>
      <c r="J366" s="151"/>
      <c r="K366" s="159"/>
      <c r="L366" s="159"/>
      <c r="M366" s="159"/>
    </row>
    <row r="367" spans="7:13" ht="15">
      <c r="G367" s="151"/>
      <c r="H367" s="151"/>
      <c r="I367" s="151"/>
      <c r="J367" s="151"/>
      <c r="K367" s="159"/>
      <c r="L367" s="159"/>
      <c r="M367" s="159"/>
    </row>
    <row r="368" spans="7:13" ht="15">
      <c r="G368" s="151"/>
      <c r="H368" s="151"/>
      <c r="I368" s="151"/>
      <c r="J368" s="151"/>
      <c r="K368" s="159"/>
      <c r="L368" s="159"/>
      <c r="M368" s="159"/>
    </row>
    <row r="369" spans="7:13" ht="15">
      <c r="G369" s="151"/>
      <c r="H369" s="151"/>
      <c r="I369" s="151"/>
      <c r="J369" s="151"/>
      <c r="K369" s="159"/>
      <c r="L369" s="159"/>
      <c r="M369" s="159"/>
    </row>
    <row r="370" spans="7:13" ht="15">
      <c r="G370" s="151"/>
      <c r="H370" s="151"/>
      <c r="I370" s="151"/>
      <c r="J370" s="151"/>
      <c r="K370" s="159"/>
      <c r="L370" s="159"/>
      <c r="M370" s="159"/>
    </row>
    <row r="371" spans="7:13" ht="15">
      <c r="G371" s="151"/>
      <c r="H371" s="151"/>
      <c r="I371" s="151"/>
      <c r="J371" s="151"/>
      <c r="K371" s="159"/>
      <c r="L371" s="159"/>
      <c r="M371" s="159"/>
    </row>
    <row r="372" spans="7:13" ht="15">
      <c r="G372" s="151"/>
      <c r="H372" s="151"/>
      <c r="I372" s="151"/>
      <c r="J372" s="151"/>
      <c r="K372" s="159"/>
      <c r="L372" s="159"/>
      <c r="M372" s="159"/>
    </row>
    <row r="373" spans="7:13" ht="15">
      <c r="G373" s="151"/>
      <c r="H373" s="151"/>
      <c r="I373" s="151"/>
      <c r="J373" s="151"/>
      <c r="K373" s="159"/>
      <c r="L373" s="159"/>
      <c r="M373" s="159"/>
    </row>
    <row r="374" spans="7:13" ht="15">
      <c r="G374" s="151"/>
      <c r="H374" s="151"/>
      <c r="I374" s="151"/>
      <c r="J374" s="151"/>
      <c r="K374" s="159"/>
      <c r="L374" s="159"/>
      <c r="M374" s="159"/>
    </row>
    <row r="375" spans="7:13" ht="15">
      <c r="G375" s="151"/>
      <c r="H375" s="151"/>
      <c r="I375" s="151"/>
      <c r="J375" s="151"/>
      <c r="K375" s="159"/>
      <c r="L375" s="159"/>
      <c r="M375" s="159"/>
    </row>
    <row r="376" spans="7:13" ht="15">
      <c r="G376" s="151"/>
      <c r="H376" s="151"/>
      <c r="I376" s="151"/>
      <c r="J376" s="151"/>
      <c r="K376" s="159"/>
      <c r="L376" s="159"/>
      <c r="M376" s="159"/>
    </row>
    <row r="377" spans="7:13" ht="15">
      <c r="G377" s="151"/>
      <c r="H377" s="151"/>
      <c r="I377" s="151"/>
      <c r="J377" s="151"/>
      <c r="K377" s="159"/>
      <c r="L377" s="159"/>
      <c r="M377" s="159"/>
    </row>
    <row r="378" spans="7:13" ht="15">
      <c r="G378" s="151"/>
      <c r="H378" s="151"/>
      <c r="I378" s="151"/>
      <c r="J378" s="151"/>
      <c r="K378" s="159"/>
      <c r="L378" s="159"/>
      <c r="M378" s="159"/>
    </row>
    <row r="379" spans="7:13" ht="15">
      <c r="G379" s="151"/>
      <c r="H379" s="151"/>
      <c r="I379" s="151"/>
      <c r="J379" s="151"/>
      <c r="K379" s="159"/>
      <c r="L379" s="159"/>
      <c r="M379" s="159"/>
    </row>
    <row r="380" spans="7:13" ht="15">
      <c r="G380" s="151"/>
      <c r="H380" s="151"/>
      <c r="I380" s="151"/>
      <c r="J380" s="151"/>
      <c r="K380" s="159"/>
      <c r="L380" s="159"/>
      <c r="M380" s="159"/>
    </row>
    <row r="381" spans="7:13" ht="15">
      <c r="G381" s="151"/>
      <c r="H381" s="151"/>
      <c r="I381" s="151"/>
      <c r="J381" s="151"/>
      <c r="K381" s="159"/>
      <c r="L381" s="159"/>
      <c r="M381" s="159"/>
    </row>
    <row r="382" spans="7:13" ht="15">
      <c r="G382" s="151"/>
      <c r="H382" s="151"/>
      <c r="I382" s="151"/>
      <c r="J382" s="151"/>
      <c r="K382" s="159"/>
      <c r="L382" s="159"/>
      <c r="M382" s="159"/>
    </row>
    <row r="383" spans="7:13" ht="15">
      <c r="G383" s="151"/>
      <c r="H383" s="151"/>
      <c r="I383" s="151"/>
      <c r="J383" s="151"/>
      <c r="K383" s="159"/>
      <c r="L383" s="159"/>
      <c r="M383" s="159"/>
    </row>
    <row r="384" spans="7:13" ht="15">
      <c r="G384" s="151"/>
      <c r="H384" s="151"/>
      <c r="I384" s="151"/>
      <c r="J384" s="151"/>
      <c r="K384" s="159"/>
      <c r="L384" s="159"/>
      <c r="M384" s="159"/>
    </row>
    <row r="385" spans="7:13" ht="15">
      <c r="G385" s="151"/>
      <c r="H385" s="151"/>
      <c r="I385" s="151"/>
      <c r="J385" s="151"/>
      <c r="K385" s="159"/>
      <c r="L385" s="159"/>
      <c r="M385" s="159"/>
    </row>
    <row r="386" spans="7:13" ht="15">
      <c r="G386" s="151"/>
      <c r="H386" s="151"/>
      <c r="I386" s="151"/>
      <c r="J386" s="151"/>
      <c r="K386" s="159"/>
      <c r="L386" s="159"/>
      <c r="M386" s="159"/>
    </row>
    <row r="387" spans="7:13" ht="15">
      <c r="G387" s="151"/>
      <c r="H387" s="151"/>
      <c r="I387" s="151"/>
      <c r="J387" s="151"/>
      <c r="K387" s="159"/>
      <c r="L387" s="159"/>
      <c r="M387" s="159"/>
    </row>
    <row r="388" spans="7:13" ht="15">
      <c r="G388" s="151"/>
      <c r="H388" s="151"/>
      <c r="I388" s="151"/>
      <c r="J388" s="151"/>
      <c r="K388" s="159"/>
      <c r="L388" s="159"/>
      <c r="M388" s="159"/>
    </row>
    <row r="389" spans="7:13" ht="15">
      <c r="G389" s="151"/>
      <c r="H389" s="151"/>
      <c r="I389" s="151"/>
      <c r="J389" s="151"/>
      <c r="K389" s="159"/>
      <c r="L389" s="159"/>
      <c r="M389" s="159"/>
    </row>
    <row r="390" spans="7:13" ht="15">
      <c r="G390" s="151"/>
      <c r="H390" s="151"/>
      <c r="I390" s="151"/>
      <c r="J390" s="151"/>
      <c r="K390" s="159"/>
      <c r="L390" s="159"/>
      <c r="M390" s="159"/>
    </row>
    <row r="391" spans="7:13" ht="15">
      <c r="G391" s="151"/>
      <c r="H391" s="151"/>
      <c r="I391" s="151"/>
      <c r="J391" s="151"/>
      <c r="K391" s="159"/>
      <c r="L391" s="159"/>
      <c r="M391" s="159"/>
    </row>
    <row r="392" spans="7:13" ht="15">
      <c r="G392" s="151"/>
      <c r="H392" s="151"/>
      <c r="I392" s="151"/>
      <c r="J392" s="151"/>
      <c r="K392" s="159"/>
      <c r="L392" s="159"/>
      <c r="M392" s="159"/>
    </row>
    <row r="393" spans="7:13" ht="15">
      <c r="G393" s="151"/>
      <c r="H393" s="151"/>
      <c r="I393" s="151"/>
      <c r="J393" s="151"/>
      <c r="K393" s="159"/>
      <c r="L393" s="159"/>
      <c r="M393" s="159"/>
    </row>
    <row r="394" spans="7:13" ht="15">
      <c r="G394" s="151"/>
      <c r="H394" s="151"/>
      <c r="I394" s="151"/>
      <c r="J394" s="151"/>
      <c r="K394" s="159"/>
      <c r="L394" s="159"/>
      <c r="M394" s="159"/>
    </row>
    <row r="395" spans="7:13" ht="15">
      <c r="G395" s="151"/>
      <c r="H395" s="151"/>
      <c r="I395" s="151"/>
      <c r="J395" s="151"/>
      <c r="K395" s="159"/>
      <c r="L395" s="159"/>
      <c r="M395" s="159"/>
    </row>
    <row r="396" spans="7:13" ht="15">
      <c r="G396" s="151"/>
      <c r="H396" s="151"/>
      <c r="I396" s="151"/>
      <c r="J396" s="151"/>
      <c r="K396" s="159"/>
      <c r="L396" s="159"/>
      <c r="M396" s="159"/>
    </row>
    <row r="397" spans="7:13" ht="15">
      <c r="G397" s="151"/>
      <c r="H397" s="151"/>
      <c r="I397" s="151"/>
      <c r="J397" s="151"/>
      <c r="K397" s="159"/>
      <c r="L397" s="159"/>
      <c r="M397" s="159"/>
    </row>
    <row r="398" spans="7:13" ht="15">
      <c r="G398" s="151"/>
      <c r="H398" s="151"/>
      <c r="I398" s="151"/>
      <c r="J398" s="151"/>
      <c r="K398" s="159"/>
      <c r="L398" s="159"/>
      <c r="M398" s="159"/>
    </row>
    <row r="399" spans="7:13" ht="15">
      <c r="G399" s="151"/>
      <c r="H399" s="151"/>
      <c r="I399" s="151"/>
      <c r="J399" s="151"/>
      <c r="K399" s="159"/>
      <c r="L399" s="159"/>
      <c r="M399" s="159"/>
    </row>
    <row r="400" spans="7:13" ht="15">
      <c r="G400" s="151"/>
      <c r="H400" s="151"/>
      <c r="I400" s="151"/>
      <c r="J400" s="151"/>
      <c r="K400" s="159"/>
      <c r="L400" s="159"/>
      <c r="M400" s="159"/>
    </row>
    <row r="401" spans="7:13" ht="15">
      <c r="G401" s="151"/>
      <c r="H401" s="151"/>
      <c r="I401" s="151"/>
      <c r="J401" s="151"/>
      <c r="K401" s="159"/>
      <c r="L401" s="159"/>
      <c r="M401" s="159"/>
    </row>
    <row r="402" spans="7:13" ht="15">
      <c r="G402" s="151"/>
      <c r="H402" s="151"/>
      <c r="I402" s="151"/>
      <c r="J402" s="151"/>
      <c r="K402" s="159"/>
      <c r="L402" s="159"/>
      <c r="M402" s="159"/>
    </row>
    <row r="403" spans="7:13" ht="15">
      <c r="G403" s="151"/>
      <c r="H403" s="151"/>
      <c r="I403" s="151"/>
      <c r="J403" s="151"/>
      <c r="K403" s="159"/>
      <c r="L403" s="159"/>
      <c r="M403" s="159"/>
    </row>
    <row r="404" spans="7:13" ht="15">
      <c r="G404" s="151"/>
      <c r="H404" s="151"/>
      <c r="I404" s="151"/>
      <c r="J404" s="151"/>
      <c r="K404" s="159"/>
      <c r="L404" s="159"/>
      <c r="M404" s="159"/>
    </row>
    <row r="405" spans="7:13" ht="15">
      <c r="G405" s="151"/>
      <c r="H405" s="151"/>
      <c r="I405" s="151"/>
      <c r="J405" s="151"/>
      <c r="K405" s="159"/>
      <c r="L405" s="159"/>
      <c r="M405" s="159"/>
    </row>
    <row r="406" spans="7:13" ht="15">
      <c r="G406" s="151"/>
      <c r="H406" s="151"/>
      <c r="I406" s="151"/>
      <c r="J406" s="151"/>
      <c r="K406" s="159"/>
      <c r="L406" s="159"/>
      <c r="M406" s="159"/>
    </row>
    <row r="407" spans="7:13" ht="15">
      <c r="G407" s="151"/>
      <c r="H407" s="151"/>
      <c r="I407" s="151"/>
      <c r="J407" s="151"/>
      <c r="K407" s="159"/>
      <c r="L407" s="159"/>
      <c r="M407" s="159"/>
    </row>
    <row r="408" spans="7:13" ht="15">
      <c r="G408" s="151"/>
      <c r="H408" s="151"/>
      <c r="I408" s="151"/>
      <c r="J408" s="151"/>
      <c r="K408" s="159"/>
      <c r="L408" s="159"/>
      <c r="M408" s="159"/>
    </row>
    <row r="409" spans="7:13" ht="15">
      <c r="G409" s="151"/>
      <c r="H409" s="151"/>
      <c r="I409" s="151"/>
      <c r="J409" s="151"/>
      <c r="K409" s="159"/>
      <c r="L409" s="159"/>
      <c r="M409" s="159"/>
    </row>
    <row r="410" spans="7:13" ht="15">
      <c r="G410" s="151"/>
      <c r="H410" s="151"/>
      <c r="I410" s="151"/>
      <c r="J410" s="151"/>
      <c r="K410" s="159"/>
      <c r="L410" s="159"/>
      <c r="M410" s="159"/>
    </row>
    <row r="411" spans="7:13" ht="15">
      <c r="G411" s="151"/>
      <c r="H411" s="151"/>
      <c r="I411" s="151"/>
      <c r="J411" s="151"/>
      <c r="K411" s="159"/>
      <c r="L411" s="159"/>
      <c r="M411" s="159"/>
    </row>
    <row r="412" spans="7:13" ht="15">
      <c r="G412" s="151"/>
      <c r="H412" s="151"/>
      <c r="I412" s="151"/>
      <c r="J412" s="151"/>
      <c r="K412" s="159"/>
      <c r="L412" s="159"/>
      <c r="M412" s="159"/>
    </row>
    <row r="413" spans="7:13" ht="15">
      <c r="G413" s="151"/>
      <c r="H413" s="151"/>
      <c r="I413" s="151"/>
      <c r="J413" s="151"/>
      <c r="K413" s="159"/>
      <c r="L413" s="159"/>
      <c r="M413" s="159"/>
    </row>
    <row r="414" spans="7:13" ht="15">
      <c r="G414" s="151"/>
      <c r="H414" s="151"/>
      <c r="I414" s="151"/>
      <c r="J414" s="151"/>
      <c r="K414" s="159"/>
      <c r="L414" s="159"/>
      <c r="M414" s="159"/>
    </row>
    <row r="415" spans="7:13" ht="15">
      <c r="G415" s="151"/>
      <c r="H415" s="151"/>
      <c r="I415" s="151"/>
      <c r="J415" s="151"/>
      <c r="K415" s="159"/>
      <c r="L415" s="159"/>
      <c r="M415" s="159"/>
    </row>
    <row r="416" spans="7:13" ht="15">
      <c r="G416" s="151"/>
      <c r="H416" s="151"/>
      <c r="I416" s="151"/>
      <c r="J416" s="151"/>
      <c r="K416" s="159"/>
      <c r="L416" s="159"/>
      <c r="M416" s="159"/>
    </row>
    <row r="417" spans="7:13" ht="15">
      <c r="G417" s="151"/>
      <c r="H417" s="151"/>
      <c r="I417" s="151"/>
      <c r="J417" s="151"/>
      <c r="K417" s="159"/>
      <c r="L417" s="159"/>
      <c r="M417" s="159"/>
    </row>
    <row r="418" spans="7:13" ht="15">
      <c r="G418" s="151"/>
      <c r="H418" s="151"/>
      <c r="I418" s="151"/>
      <c r="J418" s="151"/>
      <c r="K418" s="159"/>
      <c r="L418" s="159"/>
      <c r="M418" s="159"/>
    </row>
    <row r="419" spans="7:13" ht="15">
      <c r="G419" s="151"/>
      <c r="H419" s="151"/>
      <c r="I419" s="151"/>
      <c r="J419" s="151"/>
      <c r="K419" s="159"/>
      <c r="L419" s="159"/>
      <c r="M419" s="159"/>
    </row>
    <row r="420" spans="7:13" ht="15">
      <c r="G420" s="151"/>
      <c r="H420" s="151"/>
      <c r="I420" s="151"/>
      <c r="J420" s="151"/>
      <c r="K420" s="159"/>
      <c r="L420" s="159"/>
      <c r="M420" s="159"/>
    </row>
    <row r="421" spans="7:13" ht="15">
      <c r="G421" s="151"/>
      <c r="H421" s="151"/>
      <c r="I421" s="151"/>
      <c r="J421" s="151"/>
      <c r="K421" s="159"/>
      <c r="L421" s="159"/>
      <c r="M421" s="159"/>
    </row>
    <row r="422" spans="7:13" ht="15">
      <c r="G422" s="151"/>
      <c r="H422" s="151"/>
      <c r="I422" s="151"/>
      <c r="J422" s="151"/>
      <c r="K422" s="159"/>
      <c r="L422" s="159"/>
      <c r="M422" s="159"/>
    </row>
    <row r="423" spans="7:13" ht="15">
      <c r="G423" s="151"/>
      <c r="H423" s="151"/>
      <c r="I423" s="151"/>
      <c r="J423" s="151"/>
      <c r="K423" s="159"/>
      <c r="L423" s="159"/>
      <c r="M423" s="159"/>
    </row>
    <row r="424" spans="7:13" ht="15">
      <c r="G424" s="151"/>
      <c r="H424" s="151"/>
      <c r="I424" s="151"/>
      <c r="J424" s="151"/>
      <c r="K424" s="159"/>
      <c r="L424" s="159"/>
      <c r="M424" s="159"/>
    </row>
    <row r="425" spans="7:13" ht="15">
      <c r="G425" s="151"/>
      <c r="H425" s="151"/>
      <c r="I425" s="151"/>
      <c r="J425" s="151"/>
      <c r="K425" s="159"/>
      <c r="L425" s="159"/>
      <c r="M425" s="159"/>
    </row>
    <row r="426" spans="7:13" ht="15">
      <c r="G426" s="151"/>
      <c r="H426" s="151"/>
      <c r="I426" s="151"/>
      <c r="J426" s="151"/>
      <c r="K426" s="159"/>
      <c r="L426" s="159"/>
      <c r="M426" s="159"/>
    </row>
    <row r="427" spans="7:13" ht="15">
      <c r="G427" s="151"/>
      <c r="H427" s="151"/>
      <c r="I427" s="151"/>
      <c r="J427" s="151"/>
      <c r="K427" s="159"/>
      <c r="L427" s="159"/>
      <c r="M427" s="159"/>
    </row>
    <row r="428" spans="7:13" ht="15">
      <c r="G428" s="151"/>
      <c r="H428" s="151"/>
      <c r="I428" s="151"/>
      <c r="J428" s="151"/>
      <c r="K428" s="159"/>
      <c r="L428" s="159"/>
      <c r="M428" s="159"/>
    </row>
    <row r="429" spans="7:13" ht="15">
      <c r="G429" s="151"/>
      <c r="H429" s="151"/>
      <c r="I429" s="151"/>
      <c r="J429" s="151"/>
      <c r="K429" s="159"/>
      <c r="L429" s="159"/>
      <c r="M429" s="159"/>
    </row>
  </sheetData>
  <sheetProtection selectLockedCells="1" selectUnlockedCells="1"/>
  <mergeCells count="15">
    <mergeCell ref="L8:L9"/>
    <mergeCell ref="M8:M9"/>
    <mergeCell ref="H8:H9"/>
    <mergeCell ref="I8:I9"/>
    <mergeCell ref="J8:J9"/>
    <mergeCell ref="E3:M4"/>
    <mergeCell ref="B5:M6"/>
    <mergeCell ref="K8:K9"/>
    <mergeCell ref="G8:G9"/>
    <mergeCell ref="A8:A9"/>
    <mergeCell ref="B8:B9"/>
    <mergeCell ref="C8:C9"/>
    <mergeCell ref="D8:D9"/>
    <mergeCell ref="E8:E9"/>
    <mergeCell ref="F8:F9"/>
  </mergeCells>
  <printOptions/>
  <pageMargins left="0.31496062992125984" right="0.31496062992125984" top="0.5511811023622047" bottom="0.5511811023622047" header="0.5118110236220472" footer="0.5118110236220472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2023-11-07T06:52:15Z</cp:lastPrinted>
  <dcterms:created xsi:type="dcterms:W3CDTF">2023-12-11T13:28:03Z</dcterms:created>
  <dcterms:modified xsi:type="dcterms:W3CDTF">2023-12-11T13:28:05Z</dcterms:modified>
  <cp:category/>
  <cp:version/>
  <cp:contentType/>
  <cp:contentStatus/>
</cp:coreProperties>
</file>